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3.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980" windowHeight="756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Foglio1!$A$1:$N$73</definedName>
  </definedNames>
  <calcPr calcId="125725"/>
</workbook>
</file>

<file path=xl/calcChain.xml><?xml version="1.0" encoding="utf-8"?>
<calcChain xmlns="http://schemas.openxmlformats.org/spreadsheetml/2006/main">
  <c r="M52" i="1"/>
  <c r="M47"/>
  <c r="F7"/>
  <c r="D25" l="1"/>
  <c r="C25"/>
  <c r="F25" s="1"/>
  <c r="E47"/>
  <c r="E48"/>
  <c r="E49"/>
  <c r="E50"/>
  <c r="E51"/>
  <c r="E52"/>
  <c r="E53"/>
  <c r="E54"/>
  <c r="E55"/>
  <c r="E56"/>
  <c r="E46"/>
  <c r="D23"/>
  <c r="D24"/>
  <c r="G7"/>
  <c r="E19" s="1"/>
  <c r="D54"/>
  <c r="D55"/>
  <c r="D36"/>
  <c r="D37"/>
  <c r="D38"/>
  <c r="D39"/>
  <c r="D21"/>
  <c r="D22"/>
  <c r="D20"/>
  <c r="D19"/>
  <c r="D18"/>
  <c r="D17"/>
  <c r="D16"/>
  <c r="D15"/>
  <c r="E15" l="1"/>
  <c r="E20"/>
  <c r="E16"/>
  <c r="E21"/>
  <c r="E17"/>
  <c r="E22"/>
  <c r="E18"/>
  <c r="E23"/>
  <c r="E24"/>
  <c r="G25"/>
  <c r="M16"/>
  <c r="M18" s="1"/>
  <c r="I7"/>
  <c r="H7"/>
  <c r="C40" l="1"/>
  <c r="C56"/>
  <c r="D47"/>
  <c r="D48"/>
  <c r="D46"/>
  <c r="D49"/>
  <c r="D50"/>
  <c r="D51"/>
  <c r="D52"/>
  <c r="D53"/>
  <c r="D31"/>
  <c r="D32"/>
  <c r="D33"/>
  <c r="D34"/>
  <c r="D35"/>
  <c r="D30"/>
  <c r="F54" l="1"/>
  <c r="F55"/>
  <c r="F50"/>
  <c r="G50" s="1"/>
  <c r="F52"/>
  <c r="H52" s="1"/>
  <c r="F47"/>
  <c r="H47" s="1"/>
  <c r="F51"/>
  <c r="H51" s="1"/>
  <c r="F49"/>
  <c r="H49" s="1"/>
  <c r="F53"/>
  <c r="H53" s="1"/>
  <c r="F48"/>
  <c r="H48" s="1"/>
  <c r="D40"/>
  <c r="F8" s="1"/>
  <c r="F10" s="1"/>
  <c r="D56"/>
  <c r="F9" s="1"/>
  <c r="G47"/>
  <c r="F46"/>
  <c r="M45" s="1"/>
  <c r="H55" l="1"/>
  <c r="G55"/>
  <c r="G9"/>
  <c r="H9" s="1"/>
  <c r="H54"/>
  <c r="G54"/>
  <c r="G49"/>
  <c r="H50"/>
  <c r="G52"/>
  <c r="G53"/>
  <c r="G51"/>
  <c r="G48"/>
  <c r="G8"/>
  <c r="H46"/>
  <c r="G46"/>
  <c r="F56"/>
  <c r="G56" s="1"/>
  <c r="E25" l="1"/>
  <c r="E32"/>
  <c r="E36"/>
  <c r="E30"/>
  <c r="E31"/>
  <c r="E35"/>
  <c r="E39"/>
  <c r="E40"/>
  <c r="E34"/>
  <c r="E38"/>
  <c r="E33"/>
  <c r="E37"/>
  <c r="M46"/>
  <c r="F36"/>
  <c r="F38"/>
  <c r="F21"/>
  <c r="F23"/>
  <c r="F37"/>
  <c r="F39"/>
  <c r="F22"/>
  <c r="E10"/>
  <c r="I9"/>
  <c r="F17"/>
  <c r="F20"/>
  <c r="F16"/>
  <c r="F19"/>
  <c r="F15"/>
  <c r="M14" s="1"/>
  <c r="F18"/>
  <c r="H8"/>
  <c r="I8"/>
  <c r="F31"/>
  <c r="F35"/>
  <c r="F34"/>
  <c r="F40"/>
  <c r="F32"/>
  <c r="F30"/>
  <c r="M29" s="1"/>
  <c r="F33"/>
  <c r="G40" l="1"/>
  <c r="M31"/>
  <c r="H23"/>
  <c r="G23"/>
  <c r="H37"/>
  <c r="G37"/>
  <c r="H36"/>
  <c r="G36"/>
  <c r="H39"/>
  <c r="G39"/>
  <c r="H38"/>
  <c r="G38"/>
  <c r="H22"/>
  <c r="G22"/>
  <c r="H21"/>
  <c r="G21"/>
  <c r="H15"/>
  <c r="G15"/>
  <c r="H17"/>
  <c r="G17"/>
  <c r="H18"/>
  <c r="G18"/>
  <c r="H20"/>
  <c r="G20"/>
  <c r="H16"/>
  <c r="G16"/>
  <c r="H19"/>
  <c r="G19"/>
  <c r="H32"/>
  <c r="G32"/>
  <c r="H31"/>
  <c r="G31"/>
  <c r="H30"/>
  <c r="G30"/>
  <c r="H35"/>
  <c r="G35"/>
  <c r="H33"/>
  <c r="G33"/>
  <c r="H34"/>
  <c r="G34"/>
  <c r="M33" l="1"/>
  <c r="M49"/>
  <c r="M15"/>
  <c r="M30"/>
  <c r="M54" l="1"/>
</calcChain>
</file>

<file path=xl/sharedStrings.xml><?xml version="1.0" encoding="utf-8"?>
<sst xmlns="http://schemas.openxmlformats.org/spreadsheetml/2006/main" count="85" uniqueCount="43">
  <si>
    <t>Circuito 1</t>
  </si>
  <si>
    <t>pos.</t>
  </si>
  <si>
    <t>L m circuito</t>
  </si>
  <si>
    <t>∆T °C</t>
  </si>
  <si>
    <t>W h</t>
  </si>
  <si>
    <t>Q   L/h</t>
  </si>
  <si>
    <t>Piano terra</t>
  </si>
  <si>
    <t>sup. m2</t>
  </si>
  <si>
    <t>L/1'</t>
  </si>
  <si>
    <t>∆p</t>
  </si>
  <si>
    <t>Wh/m2</t>
  </si>
  <si>
    <t>W/m3 H 2,7 m</t>
  </si>
  <si>
    <t>W/m3 H 3 m</t>
  </si>
  <si>
    <t xml:space="preserve">Circuito 3 </t>
  </si>
  <si>
    <t>Superficie</t>
  </si>
  <si>
    <t>m2</t>
  </si>
  <si>
    <t>D= 17x2</t>
  </si>
  <si>
    <t xml:space="preserve">   L/h</t>
  </si>
  <si>
    <t>∆P  m</t>
  </si>
  <si>
    <t>perdita di carico tubazioni  max</t>
  </si>
  <si>
    <t xml:space="preserve"> Piano terra</t>
  </si>
  <si>
    <t>Piano primo</t>
  </si>
  <si>
    <t>Wh</t>
  </si>
  <si>
    <t>Piano 2°</t>
  </si>
  <si>
    <t>Primo 2°</t>
  </si>
  <si>
    <t>Primo 1°</t>
  </si>
  <si>
    <t>portata</t>
  </si>
  <si>
    <t>L/h</t>
  </si>
  <si>
    <t xml:space="preserve">perdita di carico </t>
  </si>
  <si>
    <t>Sviluppo colonna + deviazione</t>
  </si>
  <si>
    <t>Portata pompa</t>
  </si>
  <si>
    <t>Svil. colonna + deviaz.</t>
  </si>
  <si>
    <t>m</t>
  </si>
  <si>
    <t>perdita di carico  col.</t>
  </si>
  <si>
    <t>∆p gruppo rilancio</t>
  </si>
  <si>
    <t>∆p totale</t>
  </si>
  <si>
    <t>PREVENTIVAZIONE PANNELLI RADIANTI A PAVIMENTO A PAVIMENTO</t>
  </si>
  <si>
    <t>parametri forniti dal Progettista rilevati dall'elaborato tecnico</t>
  </si>
  <si>
    <t>gruppo energetico pompa di calore</t>
  </si>
  <si>
    <t>GRUPPO DI RILANCIO</t>
  </si>
  <si>
    <t>Circuito 2</t>
  </si>
  <si>
    <t>perdita di carico collettore</t>
  </si>
  <si>
    <t>Faq.2096.2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</si>
</sst>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sz val="11"/>
      <color theme="1"/>
      <name val="Arial Narrow"/>
      <family val="2"/>
    </font>
    <font>
      <sz val="12"/>
      <color theme="1"/>
      <name val="Arial Black"/>
      <family val="2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12" xfId="0" applyBorder="1"/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2" borderId="12" xfId="0" applyFill="1" applyBorder="1" applyAlignment="1" applyProtection="1">
      <alignment horizontal="center" vertical="center"/>
      <protection hidden="1"/>
    </xf>
    <xf numFmtId="1" fontId="0" fillId="2" borderId="12" xfId="0" applyNumberFormat="1" applyFill="1" applyBorder="1" applyAlignment="1" applyProtection="1">
      <alignment horizontal="center" vertical="center"/>
      <protection hidden="1"/>
    </xf>
    <xf numFmtId="1" fontId="0" fillId="2" borderId="13" xfId="0" applyNumberFormat="1" applyFill="1" applyBorder="1" applyAlignment="1" applyProtection="1">
      <alignment horizontal="center" vertical="center"/>
      <protection hidden="1"/>
    </xf>
    <xf numFmtId="0" fontId="0" fillId="2" borderId="13" xfId="0" applyFill="1" applyBorder="1" applyAlignment="1" applyProtection="1">
      <alignment horizontal="center" vertical="center"/>
      <protection hidden="1"/>
    </xf>
    <xf numFmtId="0" fontId="0" fillId="2" borderId="14" xfId="0" applyFill="1" applyBorder="1" applyAlignment="1" applyProtection="1">
      <alignment horizontal="center" vertical="center"/>
      <protection hidden="1"/>
    </xf>
    <xf numFmtId="1" fontId="0" fillId="2" borderId="14" xfId="0" applyNumberForma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1" fontId="1" fillId="2" borderId="10" xfId="0" applyNumberFormat="1" applyFont="1" applyFill="1" applyBorder="1" applyAlignment="1" applyProtection="1">
      <alignment horizontal="center" vertical="center"/>
      <protection hidden="1"/>
    </xf>
    <xf numFmtId="1" fontId="1" fillId="2" borderId="11" xfId="0" applyNumberFormat="1" applyFont="1" applyFill="1" applyBorder="1" applyAlignment="1" applyProtection="1">
      <alignment horizontal="center" vertical="center"/>
      <protection hidden="1"/>
    </xf>
    <xf numFmtId="0" fontId="0" fillId="3" borderId="12" xfId="0" applyFill="1" applyBorder="1" applyProtection="1">
      <protection locked="0" hidden="1"/>
    </xf>
    <xf numFmtId="0" fontId="0" fillId="3" borderId="14" xfId="0" applyFill="1" applyBorder="1" applyAlignment="1" applyProtection="1">
      <alignment horizontal="center" vertical="center"/>
      <protection locked="0" hidden="1"/>
    </xf>
    <xf numFmtId="0" fontId="0" fillId="3" borderId="12" xfId="0" applyFill="1" applyBorder="1" applyAlignment="1" applyProtection="1">
      <alignment horizontal="center" vertical="center"/>
      <protection locked="0" hidden="1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14" xfId="0" applyBorder="1" applyProtection="1">
      <protection hidden="1"/>
    </xf>
    <xf numFmtId="0" fontId="0" fillId="0" borderId="14" xfId="0" applyFont="1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3" borderId="13" xfId="0" applyFill="1" applyBorder="1" applyAlignment="1" applyProtection="1">
      <alignment horizontal="center" vertical="center"/>
      <protection hidden="1"/>
    </xf>
    <xf numFmtId="164" fontId="0" fillId="2" borderId="13" xfId="0" applyNumberFormat="1" applyFill="1" applyBorder="1" applyAlignment="1" applyProtection="1">
      <alignment horizontal="center" vertical="center"/>
      <protection hidden="1"/>
    </xf>
    <xf numFmtId="2" fontId="3" fillId="2" borderId="13" xfId="0" applyNumberFormat="1" applyFont="1" applyFill="1" applyBorder="1" applyAlignment="1" applyProtection="1">
      <alignment horizontal="center" vertical="center"/>
      <protection hidden="1"/>
    </xf>
    <xf numFmtId="0" fontId="0" fillId="2" borderId="14" xfId="0" applyFill="1" applyBorder="1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1" fontId="0" fillId="2" borderId="1" xfId="0" applyNumberFormat="1" applyFill="1" applyBorder="1" applyAlignment="1" applyProtection="1">
      <alignment horizontal="center" vertical="center"/>
      <protection hidden="1"/>
    </xf>
    <xf numFmtId="164" fontId="0" fillId="2" borderId="1" xfId="0" applyNumberFormat="1" applyFill="1" applyBorder="1" applyAlignment="1" applyProtection="1">
      <alignment horizontal="center" vertical="center"/>
      <protection hidden="1"/>
    </xf>
    <xf numFmtId="0" fontId="0" fillId="3" borderId="13" xfId="0" applyFill="1" applyBorder="1" applyAlignment="1" applyProtection="1">
      <alignment horizontal="center" vertical="center"/>
      <protection locked="0" hidden="1"/>
    </xf>
    <xf numFmtId="0" fontId="0" fillId="3" borderId="13" xfId="0" applyFill="1" applyBorder="1" applyProtection="1">
      <protection locked="0" hidden="1"/>
    </xf>
    <xf numFmtId="0" fontId="0" fillId="3" borderId="14" xfId="0" applyFill="1" applyBorder="1" applyProtection="1">
      <protection locked="0" hidden="1"/>
    </xf>
    <xf numFmtId="0" fontId="0" fillId="0" borderId="12" xfId="0" applyBorder="1" applyProtection="1"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vertical="center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1" fontId="0" fillId="2" borderId="4" xfId="0" applyNumberFormat="1" applyFill="1" applyBorder="1" applyAlignment="1" applyProtection="1">
      <alignment horizontal="center" vertical="center"/>
      <protection hidden="1"/>
    </xf>
    <xf numFmtId="164" fontId="0" fillId="2" borderId="12" xfId="0" applyNumberFormat="1" applyFill="1" applyBorder="1" applyAlignment="1" applyProtection="1">
      <alignment horizontal="center" vertical="center"/>
      <protection hidden="1"/>
    </xf>
    <xf numFmtId="2" fontId="3" fillId="2" borderId="12" xfId="0" applyNumberFormat="1" applyFont="1" applyFill="1" applyBorder="1" applyAlignment="1" applyProtection="1">
      <alignment horizontal="center" vertical="center"/>
      <protection hidden="1"/>
    </xf>
    <xf numFmtId="0" fontId="0" fillId="2" borderId="5" xfId="0" applyFill="1" applyBorder="1" applyAlignment="1" applyProtection="1">
      <alignment horizontal="center" vertical="center"/>
      <protection hidden="1"/>
    </xf>
    <xf numFmtId="1" fontId="0" fillId="2" borderId="6" xfId="0" applyNumberFormat="1" applyFill="1" applyBorder="1" applyAlignment="1" applyProtection="1">
      <alignment horizontal="center" vertical="center"/>
      <protection hidden="1"/>
    </xf>
    <xf numFmtId="0" fontId="0" fillId="2" borderId="7" xfId="0" applyFill="1" applyBorder="1" applyAlignment="1" applyProtection="1">
      <alignment horizontal="center" vertical="center"/>
      <protection hidden="1"/>
    </xf>
    <xf numFmtId="1" fontId="0" fillId="2" borderId="9" xfId="0" applyNumberFormat="1" applyFill="1" applyBorder="1" applyAlignment="1" applyProtection="1">
      <alignment horizontal="center" vertical="center"/>
      <protection hidden="1"/>
    </xf>
    <xf numFmtId="164" fontId="0" fillId="2" borderId="14" xfId="0" applyNumberFormat="1" applyFill="1" applyBorder="1" applyAlignment="1" applyProtection="1">
      <alignment horizontal="center" vertical="center"/>
      <protection hidden="1"/>
    </xf>
    <xf numFmtId="2" fontId="3" fillId="2" borderId="14" xfId="0" applyNumberFormat="1" applyFont="1" applyFill="1" applyBorder="1" applyAlignment="1" applyProtection="1">
      <alignment horizontal="center" vertical="center"/>
      <protection hidden="1"/>
    </xf>
    <xf numFmtId="0" fontId="4" fillId="0" borderId="2" xfId="0" applyFont="1" applyBorder="1" applyProtection="1">
      <protection hidden="1"/>
    </xf>
    <xf numFmtId="0" fontId="4" fillId="0" borderId="3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4" fillId="0" borderId="5" xfId="0" applyFont="1" applyBorder="1" applyProtection="1">
      <protection hidden="1"/>
    </xf>
    <xf numFmtId="0" fontId="4" fillId="0" borderId="0" xfId="0" applyFont="1" applyBorder="1" applyProtection="1">
      <protection hidden="1"/>
    </xf>
    <xf numFmtId="0" fontId="2" fillId="0" borderId="0" xfId="0" applyFont="1" applyBorder="1" applyProtection="1">
      <protection hidden="1"/>
    </xf>
    <xf numFmtId="2" fontId="0" fillId="2" borderId="13" xfId="0" applyNumberFormat="1" applyFill="1" applyBorder="1" applyAlignment="1" applyProtection="1">
      <alignment horizontal="center" vertical="center"/>
      <protection hidden="1"/>
    </xf>
    <xf numFmtId="0" fontId="0" fillId="0" borderId="5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165" fontId="3" fillId="2" borderId="14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12" xfId="0" applyFill="1" applyBorder="1" applyAlignment="1" applyProtection="1">
      <alignment horizontal="center" vertical="center"/>
      <protection hidden="1"/>
    </xf>
    <xf numFmtId="0" fontId="2" fillId="0" borderId="5" xfId="0" applyFont="1" applyBorder="1" applyProtection="1">
      <protection hidden="1"/>
    </xf>
    <xf numFmtId="0" fontId="0" fillId="0" borderId="13" xfId="0" applyFill="1" applyBorder="1" applyAlignment="1" applyProtection="1">
      <alignment horizontal="center" vertical="center"/>
      <protection hidden="1"/>
    </xf>
    <xf numFmtId="0" fontId="2" fillId="0" borderId="7" xfId="0" applyFont="1" applyBorder="1" applyProtection="1">
      <protection hidden="1"/>
    </xf>
    <xf numFmtId="0" fontId="0" fillId="0" borderId="14" xfId="0" applyFill="1" applyBorder="1" applyAlignment="1" applyProtection="1">
      <alignment horizontal="center" vertical="center"/>
      <protection hidden="1"/>
    </xf>
    <xf numFmtId="165" fontId="0" fillId="2" borderId="9" xfId="0" applyNumberFormat="1" applyFill="1" applyBorder="1" applyAlignment="1" applyProtection="1">
      <alignment horizontal="center" vertical="center"/>
      <protection hidden="1"/>
    </xf>
    <xf numFmtId="0" fontId="0" fillId="3" borderId="6" xfId="0" applyFill="1" applyBorder="1" applyAlignment="1" applyProtection="1">
      <alignment horizontal="center" vertical="center"/>
      <protection locked="0" hidden="1"/>
    </xf>
    <xf numFmtId="165" fontId="0" fillId="2" borderId="12" xfId="0" applyNumberFormat="1" applyFill="1" applyBorder="1" applyAlignment="1" applyProtection="1">
      <alignment horizontal="center" vertical="center"/>
      <protection hidden="1"/>
    </xf>
    <xf numFmtId="1" fontId="0" fillId="2" borderId="12" xfId="0" applyNumberFormat="1" applyFill="1" applyBorder="1" applyAlignment="1" applyProtection="1">
      <alignment horizontal="center" vertical="center"/>
      <protection locked="0" hidden="1"/>
    </xf>
    <xf numFmtId="1" fontId="0" fillId="3" borderId="13" xfId="0" applyNumberFormat="1" applyFill="1" applyBorder="1" applyAlignment="1" applyProtection="1">
      <alignment horizontal="center" vertical="center"/>
      <protection hidden="1"/>
    </xf>
    <xf numFmtId="1" fontId="0" fillId="3" borderId="12" xfId="0" applyNumberFormat="1" applyFill="1" applyBorder="1" applyAlignment="1" applyProtection="1">
      <alignment horizontal="center" vertical="center"/>
      <protection hidden="1"/>
    </xf>
    <xf numFmtId="1" fontId="0" fillId="3" borderId="14" xfId="0" applyNumberFormat="1" applyFill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56</xdr:row>
      <xdr:rowOff>149211</xdr:rowOff>
    </xdr:from>
    <xdr:to>
      <xdr:col>4</xdr:col>
      <xdr:colOff>657226</xdr:colOff>
      <xdr:row>70</xdr:row>
      <xdr:rowOff>180975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4851" y="11026761"/>
          <a:ext cx="3219450" cy="269876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3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O59"/>
  <sheetViews>
    <sheetView tabSelected="1" view="pageLayout" topLeftCell="F1" zoomScaleNormal="100" workbookViewId="0">
      <selection activeCell="M80" sqref="M80"/>
    </sheetView>
  </sheetViews>
  <sheetFormatPr defaultRowHeight="15"/>
  <cols>
    <col min="2" max="2" width="15" customWidth="1"/>
    <col min="3" max="3" width="12.7109375" customWidth="1"/>
    <col min="5" max="5" width="10.42578125" customWidth="1"/>
    <col min="6" max="6" width="14.5703125" customWidth="1"/>
    <col min="7" max="7" width="10.42578125" customWidth="1"/>
    <col min="8" max="8" width="13.5703125" customWidth="1"/>
    <col min="9" max="9" width="12.7109375" customWidth="1"/>
    <col min="10" max="10" width="9" customWidth="1"/>
    <col min="11" max="11" width="15.5703125" customWidth="1"/>
    <col min="12" max="12" width="12.42578125" customWidth="1"/>
    <col min="13" max="13" width="13.28515625" customWidth="1"/>
  </cols>
  <sheetData>
    <row r="2" spans="2:13" ht="19.5">
      <c r="F2" s="79" t="s">
        <v>36</v>
      </c>
      <c r="G2" s="80"/>
      <c r="H2" s="80"/>
      <c r="I2" s="80"/>
      <c r="J2" s="80"/>
      <c r="K2" s="80"/>
      <c r="L2" s="80"/>
      <c r="M2" s="80"/>
    </row>
    <row r="3" spans="2:13" ht="15.75">
      <c r="F3" s="82" t="s">
        <v>38</v>
      </c>
      <c r="G3" s="83"/>
      <c r="H3" s="83"/>
      <c r="I3" s="83"/>
      <c r="J3" s="83"/>
      <c r="K3" s="83"/>
      <c r="L3" s="83"/>
      <c r="M3" s="83"/>
    </row>
    <row r="4" spans="2:13" ht="15.75">
      <c r="F4" s="81" t="s">
        <v>37</v>
      </c>
      <c r="G4" s="81"/>
      <c r="H4" s="81"/>
      <c r="I4" s="81"/>
      <c r="J4" s="81"/>
      <c r="K4" s="81"/>
      <c r="L4" s="81"/>
      <c r="M4" s="81"/>
    </row>
    <row r="5" spans="2:13">
      <c r="M5" t="s">
        <v>42</v>
      </c>
    </row>
    <row r="6" spans="2:13">
      <c r="C6" s="9" t="s">
        <v>4</v>
      </c>
      <c r="D6" s="10" t="s">
        <v>3</v>
      </c>
      <c r="E6" s="9" t="s">
        <v>5</v>
      </c>
      <c r="F6" s="9" t="s">
        <v>7</v>
      </c>
      <c r="G6" s="9" t="s">
        <v>10</v>
      </c>
      <c r="H6" s="9" t="s">
        <v>11</v>
      </c>
      <c r="I6" s="9" t="s">
        <v>12</v>
      </c>
    </row>
    <row r="7" spans="2:13">
      <c r="B7" s="3" t="s">
        <v>24</v>
      </c>
      <c r="C7" s="20"/>
      <c r="D7" s="11">
        <v>5</v>
      </c>
      <c r="E7" s="77"/>
      <c r="F7" s="75">
        <f>D25</f>
        <v>0</v>
      </c>
      <c r="G7" s="12">
        <f xml:space="preserve"> IF( F7=0,0,C7/F7)</f>
        <v>0</v>
      </c>
      <c r="H7" s="12">
        <f>G7/2.7</f>
        <v>0</v>
      </c>
      <c r="I7" s="12">
        <f>G7/3</f>
        <v>0</v>
      </c>
    </row>
    <row r="8" spans="2:13">
      <c r="B8" s="4" t="s">
        <v>25</v>
      </c>
      <c r="C8" s="76">
        <v>3974</v>
      </c>
      <c r="D8" s="14">
        <v>5</v>
      </c>
      <c r="E8" s="76">
        <v>657</v>
      </c>
      <c r="F8" s="14">
        <f>D40</f>
        <v>40.400000000000006</v>
      </c>
      <c r="G8" s="13">
        <f t="shared" ref="G8:G9" si="0" xml:space="preserve"> IF( C8=0,0,C8/F8)</f>
        <v>98.366336633663352</v>
      </c>
      <c r="H8" s="13">
        <f>G8/2.7</f>
        <v>36.431976530986425</v>
      </c>
      <c r="I8" s="13">
        <f>G8/3</f>
        <v>32.788778877887786</v>
      </c>
    </row>
    <row r="9" spans="2:13">
      <c r="B9" s="5" t="s">
        <v>6</v>
      </c>
      <c r="C9" s="21">
        <v>5450</v>
      </c>
      <c r="D9" s="15">
        <v>5</v>
      </c>
      <c r="E9" s="78">
        <v>900</v>
      </c>
      <c r="F9" s="15">
        <f>D56</f>
        <v>55.4</v>
      </c>
      <c r="G9" s="16">
        <f t="shared" si="0"/>
        <v>98.375451263537911</v>
      </c>
      <c r="H9" s="16">
        <f>G9/2.7</f>
        <v>36.435352319828851</v>
      </c>
      <c r="I9" s="16">
        <f>G9/3</f>
        <v>32.79181708784597</v>
      </c>
    </row>
    <row r="10" spans="2:13">
      <c r="C10" s="17"/>
      <c r="D10" s="17"/>
      <c r="E10" s="18">
        <f>E7+E8+E9</f>
        <v>1557</v>
      </c>
      <c r="F10" s="19">
        <f>F7+F8+F9</f>
        <v>95.800000000000011</v>
      </c>
      <c r="G10" s="17"/>
      <c r="H10" s="17"/>
      <c r="I10" s="17"/>
      <c r="J10" s="17"/>
      <c r="K10" s="17"/>
      <c r="L10" s="17"/>
      <c r="M10" s="17"/>
    </row>
    <row r="11" spans="2:13">
      <c r="J11" s="17"/>
      <c r="K11" s="17"/>
      <c r="L11" s="17"/>
      <c r="M11" s="17"/>
    </row>
    <row r="12" spans="2:13">
      <c r="J12" s="17"/>
      <c r="K12" s="17"/>
      <c r="L12" s="17"/>
      <c r="M12" s="17"/>
    </row>
    <row r="13" spans="2:13">
      <c r="B13" s="6" t="s">
        <v>13</v>
      </c>
      <c r="C13" s="7" t="s">
        <v>23</v>
      </c>
      <c r="D13" s="7" t="s">
        <v>14</v>
      </c>
      <c r="E13" s="7" t="s">
        <v>22</v>
      </c>
      <c r="F13" s="7" t="s">
        <v>16</v>
      </c>
      <c r="G13" s="8"/>
      <c r="H13" s="7" t="s">
        <v>16</v>
      </c>
      <c r="J13" s="17"/>
      <c r="K13" s="17"/>
      <c r="L13" s="17"/>
      <c r="M13" s="17"/>
    </row>
    <row r="14" spans="2:13" ht="16.5">
      <c r="B14" s="23" t="s">
        <v>1</v>
      </c>
      <c r="C14" s="23" t="s">
        <v>2</v>
      </c>
      <c r="D14" s="23" t="s">
        <v>15</v>
      </c>
      <c r="E14" s="24"/>
      <c r="F14" s="23" t="s">
        <v>17</v>
      </c>
      <c r="G14" s="23" t="s">
        <v>8</v>
      </c>
      <c r="H14" s="25" t="s">
        <v>9</v>
      </c>
      <c r="J14" s="50" t="s">
        <v>41</v>
      </c>
      <c r="K14" s="51"/>
      <c r="L14" s="52" t="s">
        <v>18</v>
      </c>
      <c r="M14" s="11">
        <f>((F15/1000)*1.1)^2*10</f>
        <v>0</v>
      </c>
    </row>
    <row r="15" spans="2:13" ht="16.5">
      <c r="B15" s="26">
        <v>1</v>
      </c>
      <c r="C15" s="34"/>
      <c r="D15" s="11">
        <f>C15*0.1</f>
        <v>0</v>
      </c>
      <c r="E15" s="11">
        <f>D15*$G$7</f>
        <v>0</v>
      </c>
      <c r="F15" s="13">
        <f t="shared" ref="F15:F23" si="1">$E$8*C15/$C$40</f>
        <v>0</v>
      </c>
      <c r="G15" s="28">
        <f t="shared" ref="G15:G20" si="2">F15/60</f>
        <v>0</v>
      </c>
      <c r="H15" s="29">
        <f t="shared" ref="H15:H23" si="3">(C15*10.67/(13/1000)^4.8704*(F15/(1000*3600)/140)^1.852)</f>
        <v>0</v>
      </c>
      <c r="J15" s="53" t="s">
        <v>19</v>
      </c>
      <c r="K15" s="54"/>
      <c r="L15" s="55" t="s">
        <v>18</v>
      </c>
      <c r="M15" s="56">
        <f>MAXA(H15:H24)</f>
        <v>0</v>
      </c>
    </row>
    <row r="16" spans="2:13">
      <c r="B16" s="26">
        <v>2</v>
      </c>
      <c r="C16" s="34"/>
      <c r="D16" s="14">
        <f t="shared" ref="D16:D24" si="4">C16*0.1</f>
        <v>0</v>
      </c>
      <c r="E16" s="14">
        <f t="shared" ref="E16:E24" si="5">D16*$G$7</f>
        <v>0</v>
      </c>
      <c r="F16" s="13">
        <f t="shared" si="1"/>
        <v>0</v>
      </c>
      <c r="G16" s="28">
        <f t="shared" si="2"/>
        <v>0</v>
      </c>
      <c r="H16" s="29">
        <f t="shared" si="3"/>
        <v>0</v>
      </c>
      <c r="J16" s="57" t="s">
        <v>26</v>
      </c>
      <c r="K16" s="58"/>
      <c r="L16" s="58" t="s">
        <v>27</v>
      </c>
      <c r="M16" s="14">
        <f>F25</f>
        <v>0</v>
      </c>
    </row>
    <row r="17" spans="2:15">
      <c r="B17" s="26">
        <v>3</v>
      </c>
      <c r="C17" s="34"/>
      <c r="D17" s="14">
        <f t="shared" si="4"/>
        <v>0</v>
      </c>
      <c r="E17" s="14">
        <f t="shared" si="5"/>
        <v>0</v>
      </c>
      <c r="F17" s="13">
        <f t="shared" si="1"/>
        <v>0</v>
      </c>
      <c r="G17" s="28">
        <f t="shared" si="2"/>
        <v>0</v>
      </c>
      <c r="H17" s="29">
        <f t="shared" si="3"/>
        <v>0</v>
      </c>
      <c r="J17" s="57" t="s">
        <v>29</v>
      </c>
      <c r="K17" s="58"/>
      <c r="L17" s="58"/>
      <c r="M17" s="35"/>
    </row>
    <row r="18" spans="2:15">
      <c r="B18" s="26">
        <v>4</v>
      </c>
      <c r="C18" s="34"/>
      <c r="D18" s="14">
        <f t="shared" si="4"/>
        <v>0</v>
      </c>
      <c r="E18" s="14">
        <f t="shared" si="5"/>
        <v>0</v>
      </c>
      <c r="F18" s="13">
        <f t="shared" si="1"/>
        <v>0</v>
      </c>
      <c r="G18" s="28">
        <f t="shared" si="2"/>
        <v>0</v>
      </c>
      <c r="H18" s="29">
        <f t="shared" si="3"/>
        <v>0</v>
      </c>
      <c r="J18" s="59" t="s">
        <v>28</v>
      </c>
      <c r="K18" s="60"/>
      <c r="L18" s="60"/>
      <c r="M18" s="61">
        <f>(M17*10.67/(25/1000)^4.8704*(M16/(1000*3600)/140)^1.852)</f>
        <v>0</v>
      </c>
    </row>
    <row r="19" spans="2:15">
      <c r="B19" s="26">
        <v>5</v>
      </c>
      <c r="C19" s="34"/>
      <c r="D19" s="14">
        <f t="shared" si="4"/>
        <v>0</v>
      </c>
      <c r="E19" s="14">
        <f t="shared" si="5"/>
        <v>0</v>
      </c>
      <c r="F19" s="13">
        <f t="shared" si="1"/>
        <v>0</v>
      </c>
      <c r="G19" s="28">
        <f t="shared" si="2"/>
        <v>0</v>
      </c>
      <c r="H19" s="29">
        <f t="shared" si="3"/>
        <v>0</v>
      </c>
      <c r="J19" s="17"/>
      <c r="K19" s="17"/>
      <c r="L19" s="17"/>
      <c r="M19" s="17"/>
    </row>
    <row r="20" spans="2:15">
      <c r="B20" s="26">
        <v>6</v>
      </c>
      <c r="C20" s="34"/>
      <c r="D20" s="14">
        <f t="shared" si="4"/>
        <v>0</v>
      </c>
      <c r="E20" s="14">
        <f t="shared" si="5"/>
        <v>0</v>
      </c>
      <c r="F20" s="13">
        <f t="shared" si="1"/>
        <v>0</v>
      </c>
      <c r="G20" s="28">
        <f t="shared" si="2"/>
        <v>0</v>
      </c>
      <c r="H20" s="29">
        <f t="shared" si="3"/>
        <v>0</v>
      </c>
      <c r="J20" s="17"/>
      <c r="K20" s="17"/>
      <c r="L20" s="17"/>
      <c r="M20" s="17"/>
    </row>
    <row r="21" spans="2:15">
      <c r="B21" s="26">
        <v>7</v>
      </c>
      <c r="C21" s="35"/>
      <c r="D21" s="14">
        <f t="shared" si="4"/>
        <v>0</v>
      </c>
      <c r="E21" s="14">
        <f t="shared" si="5"/>
        <v>0</v>
      </c>
      <c r="F21" s="13">
        <f t="shared" si="1"/>
        <v>0</v>
      </c>
      <c r="G21" s="28">
        <f t="shared" ref="G21:G23" si="6">F21/60</f>
        <v>0</v>
      </c>
      <c r="H21" s="29">
        <f t="shared" si="3"/>
        <v>0</v>
      </c>
      <c r="J21" s="17"/>
      <c r="K21" s="17"/>
      <c r="L21" s="17"/>
      <c r="M21" s="17"/>
    </row>
    <row r="22" spans="2:15">
      <c r="B22" s="26">
        <v>8</v>
      </c>
      <c r="C22" s="35"/>
      <c r="D22" s="14">
        <f t="shared" si="4"/>
        <v>0</v>
      </c>
      <c r="E22" s="14">
        <f t="shared" si="5"/>
        <v>0</v>
      </c>
      <c r="F22" s="13">
        <f t="shared" si="1"/>
        <v>0</v>
      </c>
      <c r="G22" s="28">
        <f t="shared" si="6"/>
        <v>0</v>
      </c>
      <c r="H22" s="29">
        <f t="shared" si="3"/>
        <v>0</v>
      </c>
      <c r="J22" s="17"/>
      <c r="K22" s="17"/>
      <c r="L22" s="17"/>
      <c r="M22" s="17"/>
    </row>
    <row r="23" spans="2:15">
      <c r="B23" s="26">
        <v>9</v>
      </c>
      <c r="C23" s="35"/>
      <c r="D23" s="14">
        <f t="shared" si="4"/>
        <v>0</v>
      </c>
      <c r="E23" s="14">
        <f t="shared" si="5"/>
        <v>0</v>
      </c>
      <c r="F23" s="13">
        <f t="shared" si="1"/>
        <v>0</v>
      </c>
      <c r="G23" s="28">
        <f t="shared" si="6"/>
        <v>0</v>
      </c>
      <c r="H23" s="29">
        <f t="shared" si="3"/>
        <v>0</v>
      </c>
      <c r="J23" s="17"/>
      <c r="K23" s="17"/>
      <c r="L23" s="17"/>
      <c r="M23" s="17"/>
    </row>
    <row r="24" spans="2:15">
      <c r="B24" s="23">
        <v>10</v>
      </c>
      <c r="C24" s="36"/>
      <c r="D24" s="15">
        <f t="shared" si="4"/>
        <v>0</v>
      </c>
      <c r="E24" s="15">
        <f t="shared" si="5"/>
        <v>0</v>
      </c>
      <c r="F24" s="30"/>
      <c r="G24" s="30"/>
      <c r="H24" s="30"/>
      <c r="J24" s="17"/>
      <c r="K24" s="17"/>
      <c r="L24" s="17"/>
      <c r="M24" s="17"/>
    </row>
    <row r="25" spans="2:15" ht="16.5">
      <c r="B25" s="17"/>
      <c r="C25" s="31">
        <f>C15+C16+C17+C18+C19+C20+C21+C22+C23+C24</f>
        <v>0</v>
      </c>
      <c r="D25" s="32">
        <f>D15+D16+D17+D18+D19+D20+D21+D22+D23+D24</f>
        <v>0</v>
      </c>
      <c r="E25" s="32">
        <f>D25*$G$8</f>
        <v>0</v>
      </c>
      <c r="F25" s="32">
        <f>$E$8*C25/$C$40</f>
        <v>0</v>
      </c>
      <c r="G25" s="33">
        <f>F25/60</f>
        <v>0</v>
      </c>
      <c r="H25" s="17"/>
      <c r="J25" s="17"/>
      <c r="K25" s="17"/>
      <c r="L25" s="62"/>
      <c r="M25" s="62"/>
      <c r="N25" s="2"/>
      <c r="O25" s="1"/>
    </row>
    <row r="26" spans="2:15">
      <c r="J26" s="17"/>
      <c r="K26" s="17"/>
      <c r="L26" s="17"/>
      <c r="M26" s="17"/>
    </row>
    <row r="27" spans="2:15">
      <c r="J27" s="17"/>
      <c r="K27" s="17"/>
      <c r="L27" s="17"/>
    </row>
    <row r="28" spans="2:15">
      <c r="B28" s="37" t="s">
        <v>40</v>
      </c>
      <c r="C28" s="38" t="s">
        <v>21</v>
      </c>
      <c r="D28" s="38" t="s">
        <v>14</v>
      </c>
      <c r="E28" s="38" t="s">
        <v>22</v>
      </c>
      <c r="F28" s="38" t="s">
        <v>16</v>
      </c>
      <c r="G28" s="39"/>
      <c r="H28" s="38" t="s">
        <v>16</v>
      </c>
      <c r="J28" s="17"/>
      <c r="K28" s="17"/>
      <c r="L28" s="17"/>
      <c r="M28" s="17"/>
    </row>
    <row r="29" spans="2:15" ht="16.5">
      <c r="B29" s="23" t="s">
        <v>1</v>
      </c>
      <c r="C29" s="23" t="s">
        <v>2</v>
      </c>
      <c r="D29" s="23" t="s">
        <v>15</v>
      </c>
      <c r="E29" s="26"/>
      <c r="F29" s="23" t="s">
        <v>17</v>
      </c>
      <c r="G29" s="23" t="s">
        <v>8</v>
      </c>
      <c r="H29" s="25" t="s">
        <v>9</v>
      </c>
      <c r="J29" s="50" t="s">
        <v>41</v>
      </c>
      <c r="K29" s="51"/>
      <c r="L29" s="63" t="s">
        <v>18</v>
      </c>
      <c r="M29" s="74">
        <f>((F30/1000)*1.1)^2*10</f>
        <v>0.25347398490895501</v>
      </c>
    </row>
    <row r="30" spans="2:15" ht="16.5">
      <c r="B30" s="38">
        <v>1</v>
      </c>
      <c r="C30" s="22">
        <v>89</v>
      </c>
      <c r="D30" s="40">
        <f>C30*0.1</f>
        <v>8.9</v>
      </c>
      <c r="E30" s="12">
        <f>D30*$G$8</f>
        <v>875.46039603960389</v>
      </c>
      <c r="F30" s="41">
        <f t="shared" ref="F30:F40" si="7">$E$8*C30/$C$40</f>
        <v>144.73514851485149</v>
      </c>
      <c r="G30" s="42">
        <f t="shared" ref="G30:G35" si="8">F30/60</f>
        <v>2.412252475247525</v>
      </c>
      <c r="H30" s="43">
        <f t="shared" ref="H30:H39" si="9">(C30*10.67/(13/1000)^4.8704*(F30/(1000*3600)/140)^1.852)</f>
        <v>1.1165712417801277</v>
      </c>
      <c r="J30" s="53" t="s">
        <v>19</v>
      </c>
      <c r="K30" s="54"/>
      <c r="L30" s="64" t="s">
        <v>18</v>
      </c>
      <c r="M30" s="56">
        <f>MAXA(H30:H39)</f>
        <v>1.1165712417801277</v>
      </c>
    </row>
    <row r="31" spans="2:15">
      <c r="B31" s="26">
        <v>2</v>
      </c>
      <c r="C31" s="34">
        <v>74</v>
      </c>
      <c r="D31" s="44">
        <f t="shared" ref="D31:D39" si="10">C31*0.1</f>
        <v>7.4</v>
      </c>
      <c r="E31" s="13">
        <f t="shared" ref="E31:E39" si="11">D31*$G$8</f>
        <v>727.91089108910887</v>
      </c>
      <c r="F31" s="45">
        <f t="shared" si="7"/>
        <v>120.34158415841584</v>
      </c>
      <c r="G31" s="28">
        <f t="shared" si="8"/>
        <v>2.0056930693069308</v>
      </c>
      <c r="H31" s="29">
        <f t="shared" si="9"/>
        <v>0.65959142923572245</v>
      </c>
      <c r="J31" s="57" t="s">
        <v>26</v>
      </c>
      <c r="K31" s="58"/>
      <c r="L31" s="26" t="s">
        <v>27</v>
      </c>
      <c r="M31" s="13">
        <f>F40</f>
        <v>657</v>
      </c>
    </row>
    <row r="32" spans="2:15">
      <c r="B32" s="26">
        <v>3</v>
      </c>
      <c r="C32" s="34">
        <v>50</v>
      </c>
      <c r="D32" s="44">
        <f t="shared" si="10"/>
        <v>5</v>
      </c>
      <c r="E32" s="13">
        <f t="shared" si="11"/>
        <v>491.83168316831677</v>
      </c>
      <c r="F32" s="45">
        <f t="shared" si="7"/>
        <v>81.311881188118818</v>
      </c>
      <c r="G32" s="28">
        <f t="shared" si="8"/>
        <v>1.3551980198019804</v>
      </c>
      <c r="H32" s="29">
        <f t="shared" si="9"/>
        <v>0.21561977646066732</v>
      </c>
      <c r="J32" s="57" t="s">
        <v>31</v>
      </c>
      <c r="K32" s="58"/>
      <c r="L32" s="26" t="s">
        <v>32</v>
      </c>
      <c r="M32" s="34">
        <v>9</v>
      </c>
    </row>
    <row r="33" spans="2:13">
      <c r="B33" s="26">
        <v>4</v>
      </c>
      <c r="C33" s="34">
        <v>59</v>
      </c>
      <c r="D33" s="44">
        <f t="shared" si="10"/>
        <v>5.9</v>
      </c>
      <c r="E33" s="13">
        <f t="shared" si="11"/>
        <v>580.36138613861385</v>
      </c>
      <c r="F33" s="45">
        <f t="shared" si="7"/>
        <v>95.948019801980195</v>
      </c>
      <c r="G33" s="28">
        <f t="shared" si="8"/>
        <v>1.5991336633663367</v>
      </c>
      <c r="H33" s="29">
        <f t="shared" si="9"/>
        <v>0.34569737061327555</v>
      </c>
      <c r="J33" s="59" t="s">
        <v>33</v>
      </c>
      <c r="K33" s="60"/>
      <c r="L33" s="23" t="s">
        <v>32</v>
      </c>
      <c r="M33" s="61">
        <f>(M32*10.67/(25/1000)^4.8704*(M31/(1000*3600)/140)^1.852)</f>
        <v>7.6967897194300222E-2</v>
      </c>
    </row>
    <row r="34" spans="2:13">
      <c r="B34" s="26">
        <v>5</v>
      </c>
      <c r="C34" s="34">
        <v>67</v>
      </c>
      <c r="D34" s="44">
        <f t="shared" si="10"/>
        <v>6.7</v>
      </c>
      <c r="E34" s="13">
        <f t="shared" si="11"/>
        <v>659.05445544554448</v>
      </c>
      <c r="F34" s="45">
        <f t="shared" si="7"/>
        <v>108.95792079207921</v>
      </c>
      <c r="G34" s="28">
        <f t="shared" si="8"/>
        <v>1.8159653465346535</v>
      </c>
      <c r="H34" s="29">
        <f t="shared" si="9"/>
        <v>0.49681131265475337</v>
      </c>
      <c r="J34" s="17"/>
      <c r="K34" s="17"/>
      <c r="L34" s="17"/>
      <c r="M34" s="17"/>
    </row>
    <row r="35" spans="2:13">
      <c r="B35" s="26">
        <v>6</v>
      </c>
      <c r="C35" s="34">
        <v>65</v>
      </c>
      <c r="D35" s="44">
        <f t="shared" si="10"/>
        <v>6.5</v>
      </c>
      <c r="E35" s="13">
        <f t="shared" si="11"/>
        <v>639.38118811881179</v>
      </c>
      <c r="F35" s="45">
        <f t="shared" si="7"/>
        <v>105.70544554455445</v>
      </c>
      <c r="G35" s="28">
        <f t="shared" si="8"/>
        <v>1.7617574257425741</v>
      </c>
      <c r="H35" s="29">
        <f t="shared" si="9"/>
        <v>0.45567482161809403</v>
      </c>
      <c r="J35" s="17"/>
      <c r="K35" s="17"/>
      <c r="L35" s="17"/>
      <c r="M35" s="17"/>
    </row>
    <row r="36" spans="2:13">
      <c r="B36" s="26">
        <v>7</v>
      </c>
      <c r="C36" s="34">
        <v>0</v>
      </c>
      <c r="D36" s="44">
        <f t="shared" si="10"/>
        <v>0</v>
      </c>
      <c r="E36" s="13">
        <f t="shared" si="11"/>
        <v>0</v>
      </c>
      <c r="F36" s="45">
        <f t="shared" si="7"/>
        <v>0</v>
      </c>
      <c r="G36" s="28">
        <f t="shared" ref="G36:G39" si="12">F36/60</f>
        <v>0</v>
      </c>
      <c r="H36" s="29">
        <f t="shared" si="9"/>
        <v>0</v>
      </c>
      <c r="J36" s="17"/>
      <c r="K36" s="17"/>
      <c r="L36" s="17"/>
      <c r="M36" s="17"/>
    </row>
    <row r="37" spans="2:13">
      <c r="B37" s="26">
        <v>8</v>
      </c>
      <c r="C37" s="34">
        <v>0</v>
      </c>
      <c r="D37" s="44">
        <f t="shared" si="10"/>
        <v>0</v>
      </c>
      <c r="E37" s="13">
        <f t="shared" si="11"/>
        <v>0</v>
      </c>
      <c r="F37" s="45">
        <f t="shared" si="7"/>
        <v>0</v>
      </c>
      <c r="G37" s="28">
        <f t="shared" si="12"/>
        <v>0</v>
      </c>
      <c r="H37" s="29">
        <f t="shared" si="9"/>
        <v>0</v>
      </c>
      <c r="J37" s="17"/>
      <c r="K37" s="17"/>
      <c r="L37" s="17"/>
      <c r="M37" s="17"/>
    </row>
    <row r="38" spans="2:13">
      <c r="B38" s="26">
        <v>9</v>
      </c>
      <c r="C38" s="34">
        <v>0</v>
      </c>
      <c r="D38" s="44">
        <f t="shared" si="10"/>
        <v>0</v>
      </c>
      <c r="E38" s="13">
        <f t="shared" si="11"/>
        <v>0</v>
      </c>
      <c r="F38" s="45">
        <f t="shared" si="7"/>
        <v>0</v>
      </c>
      <c r="G38" s="28">
        <f t="shared" si="12"/>
        <v>0</v>
      </c>
      <c r="H38" s="29">
        <f t="shared" si="9"/>
        <v>0</v>
      </c>
      <c r="J38" s="17"/>
      <c r="K38" s="17"/>
      <c r="L38" s="17"/>
      <c r="M38" s="17"/>
    </row>
    <row r="39" spans="2:13">
      <c r="B39" s="23">
        <v>10</v>
      </c>
      <c r="C39" s="21">
        <v>0</v>
      </c>
      <c r="D39" s="46">
        <f t="shared" si="10"/>
        <v>0</v>
      </c>
      <c r="E39" s="16">
        <f t="shared" si="11"/>
        <v>0</v>
      </c>
      <c r="F39" s="47">
        <f t="shared" si="7"/>
        <v>0</v>
      </c>
      <c r="G39" s="48">
        <f t="shared" si="12"/>
        <v>0</v>
      </c>
      <c r="H39" s="49">
        <f t="shared" si="9"/>
        <v>0</v>
      </c>
      <c r="J39" s="17"/>
      <c r="K39" s="17"/>
      <c r="L39" s="17"/>
      <c r="M39" s="17"/>
    </row>
    <row r="40" spans="2:13">
      <c r="B40" s="17"/>
      <c r="C40" s="31">
        <f>C30+C31+C32+C33+C34+C35</f>
        <v>404</v>
      </c>
      <c r="D40" s="32">
        <f>D30+D31+D32+D33+D34+D35</f>
        <v>40.400000000000006</v>
      </c>
      <c r="E40" s="32">
        <f>D40*$G$8</f>
        <v>3974</v>
      </c>
      <c r="F40" s="32">
        <f t="shared" si="7"/>
        <v>657</v>
      </c>
      <c r="G40" s="33">
        <f>F40/60</f>
        <v>10.95</v>
      </c>
      <c r="H40" s="17"/>
      <c r="J40" s="17"/>
      <c r="K40" s="17"/>
      <c r="L40" s="17"/>
      <c r="M40" s="17"/>
    </row>
    <row r="41" spans="2:13">
      <c r="J41" s="17"/>
      <c r="K41" s="17"/>
      <c r="L41" s="17"/>
      <c r="M41" s="17"/>
    </row>
    <row r="42" spans="2:13">
      <c r="J42" s="17"/>
      <c r="K42" s="17"/>
      <c r="L42" s="17"/>
      <c r="M42" s="17"/>
    </row>
    <row r="43" spans="2:13">
      <c r="J43" s="17"/>
      <c r="K43" s="17"/>
      <c r="L43" s="17"/>
      <c r="M43" s="17"/>
    </row>
    <row r="44" spans="2:13">
      <c r="B44" s="37" t="s">
        <v>0</v>
      </c>
      <c r="C44" s="38" t="s">
        <v>20</v>
      </c>
      <c r="D44" s="38" t="s">
        <v>14</v>
      </c>
      <c r="E44" s="38" t="s">
        <v>22</v>
      </c>
      <c r="F44" s="38" t="s">
        <v>16</v>
      </c>
      <c r="G44" s="39"/>
      <c r="H44" s="38" t="s">
        <v>16</v>
      </c>
      <c r="J44" s="17"/>
      <c r="K44" s="17"/>
      <c r="L44" s="17"/>
      <c r="M44" s="17"/>
    </row>
    <row r="45" spans="2:13" ht="16.5">
      <c r="B45" s="23" t="s">
        <v>1</v>
      </c>
      <c r="C45" s="23" t="s">
        <v>2</v>
      </c>
      <c r="D45" s="23" t="s">
        <v>15</v>
      </c>
      <c r="E45" s="24"/>
      <c r="F45" s="23" t="s">
        <v>17</v>
      </c>
      <c r="G45" s="23" t="s">
        <v>8</v>
      </c>
      <c r="H45" s="25" t="s">
        <v>9</v>
      </c>
      <c r="J45" s="50" t="s">
        <v>41</v>
      </c>
      <c r="K45" s="51"/>
      <c r="L45" s="63" t="s">
        <v>18</v>
      </c>
      <c r="M45" s="74">
        <f>((F46/1000)*1.1)^2*10</f>
        <v>0.22532502704323012</v>
      </c>
    </row>
    <row r="46" spans="2:13" ht="16.5">
      <c r="B46" s="26">
        <v>1</v>
      </c>
      <c r="C46" s="34">
        <v>84</v>
      </c>
      <c r="D46" s="14">
        <f t="shared" ref="D46:D53" si="13">C46*0.1</f>
        <v>8.4</v>
      </c>
      <c r="E46" s="13">
        <f>D46*$G$9</f>
        <v>826.3537906137185</v>
      </c>
      <c r="F46" s="13">
        <f t="shared" ref="F46:F55" si="14">$E$9*C46/$C$56</f>
        <v>136.46209386281589</v>
      </c>
      <c r="G46" s="28">
        <f t="shared" ref="G46:G56" si="15">F46/60</f>
        <v>2.2743682310469313</v>
      </c>
      <c r="H46" s="29">
        <f t="shared" ref="H46:H55" si="16">(C46*10.67/(13/1000)^4.8704*(F46/(1000*3600)/140)^1.852)</f>
        <v>0.94500679200377957</v>
      </c>
      <c r="J46" s="53" t="s">
        <v>19</v>
      </c>
      <c r="K46" s="54"/>
      <c r="L46" s="64" t="s">
        <v>18</v>
      </c>
      <c r="M46" s="56">
        <f>MAXA(H46:H55)</f>
        <v>0.94500679200377957</v>
      </c>
    </row>
    <row r="47" spans="2:13">
      <c r="B47" s="26">
        <v>2</v>
      </c>
      <c r="C47" s="34">
        <v>81</v>
      </c>
      <c r="D47" s="14">
        <f t="shared" si="13"/>
        <v>8.1</v>
      </c>
      <c r="E47" s="13">
        <f t="shared" ref="E47:E56" si="17">D47*$G$9</f>
        <v>796.84115523465709</v>
      </c>
      <c r="F47" s="13">
        <f t="shared" si="14"/>
        <v>131.5884476534296</v>
      </c>
      <c r="G47" s="28">
        <f t="shared" si="15"/>
        <v>2.1931407942238268</v>
      </c>
      <c r="H47" s="29">
        <f t="shared" si="16"/>
        <v>0.85190208251415811</v>
      </c>
      <c r="J47" s="57" t="s">
        <v>26</v>
      </c>
      <c r="K47" s="58"/>
      <c r="L47" s="26" t="s">
        <v>27</v>
      </c>
      <c r="M47" s="13">
        <f>F56+M31+M16</f>
        <v>1557</v>
      </c>
    </row>
    <row r="48" spans="2:13">
      <c r="B48" s="26">
        <v>3</v>
      </c>
      <c r="C48" s="34">
        <v>77</v>
      </c>
      <c r="D48" s="14">
        <f t="shared" si="13"/>
        <v>7.7</v>
      </c>
      <c r="E48" s="13">
        <f t="shared" si="17"/>
        <v>757.49097472924188</v>
      </c>
      <c r="F48" s="13">
        <f t="shared" si="14"/>
        <v>125.09025270758123</v>
      </c>
      <c r="G48" s="28">
        <f t="shared" si="15"/>
        <v>2.0848375451263537</v>
      </c>
      <c r="H48" s="29">
        <f t="shared" si="16"/>
        <v>0.73733008437329894</v>
      </c>
      <c r="J48" s="57" t="s">
        <v>31</v>
      </c>
      <c r="K48" s="58"/>
      <c r="L48" s="26" t="s">
        <v>32</v>
      </c>
      <c r="M48" s="27">
        <v>6</v>
      </c>
    </row>
    <row r="49" spans="2:13">
      <c r="B49" s="26">
        <v>4</v>
      </c>
      <c r="C49" s="34">
        <v>76</v>
      </c>
      <c r="D49" s="14">
        <f t="shared" si="13"/>
        <v>7.6000000000000005</v>
      </c>
      <c r="E49" s="13">
        <f t="shared" si="17"/>
        <v>747.6534296028882</v>
      </c>
      <c r="F49" s="13">
        <f t="shared" si="14"/>
        <v>123.46570397111914</v>
      </c>
      <c r="G49" s="28">
        <f t="shared" si="15"/>
        <v>2.0577617328519855</v>
      </c>
      <c r="H49" s="29">
        <f t="shared" si="16"/>
        <v>0.71034736080667205</v>
      </c>
      <c r="J49" s="59" t="s">
        <v>33</v>
      </c>
      <c r="K49" s="60"/>
      <c r="L49" s="23" t="s">
        <v>32</v>
      </c>
      <c r="M49" s="61">
        <f>(M48*10.67/(25/1000)^4.8704*(M47/(1000*3600)/140)^1.852)</f>
        <v>0.25363302916235947</v>
      </c>
    </row>
    <row r="50" spans="2:13">
      <c r="B50" s="26">
        <v>5</v>
      </c>
      <c r="C50" s="34">
        <v>72</v>
      </c>
      <c r="D50" s="14">
        <f t="shared" si="13"/>
        <v>7.2</v>
      </c>
      <c r="E50" s="13">
        <f t="shared" si="17"/>
        <v>708.30324909747299</v>
      </c>
      <c r="F50" s="13">
        <f t="shared" si="14"/>
        <v>116.96750902527076</v>
      </c>
      <c r="G50" s="28">
        <f t="shared" si="15"/>
        <v>1.9494584837545126</v>
      </c>
      <c r="H50" s="29">
        <f t="shared" si="16"/>
        <v>0.60883931109470135</v>
      </c>
      <c r="J50" s="17"/>
      <c r="K50" s="17"/>
      <c r="L50" s="17"/>
      <c r="M50" s="17"/>
    </row>
    <row r="51" spans="2:13">
      <c r="B51" s="26">
        <v>6</v>
      </c>
      <c r="C51" s="34">
        <v>15</v>
      </c>
      <c r="D51" s="14">
        <f t="shared" si="13"/>
        <v>1.5</v>
      </c>
      <c r="E51" s="13">
        <f t="shared" si="17"/>
        <v>147.56317689530687</v>
      </c>
      <c r="F51" s="13">
        <f t="shared" si="14"/>
        <v>24.36823104693141</v>
      </c>
      <c r="G51" s="28">
        <f t="shared" si="15"/>
        <v>0.40613718411552352</v>
      </c>
      <c r="H51" s="29">
        <f t="shared" si="16"/>
        <v>6.9438875126790617E-3</v>
      </c>
      <c r="J51" s="17"/>
      <c r="K51" s="17"/>
      <c r="L51" s="17"/>
      <c r="M51" s="17"/>
    </row>
    <row r="52" spans="2:13">
      <c r="B52" s="26">
        <v>7</v>
      </c>
      <c r="C52" s="34">
        <v>73</v>
      </c>
      <c r="D52" s="14">
        <f t="shared" si="13"/>
        <v>7.3000000000000007</v>
      </c>
      <c r="E52" s="13">
        <f t="shared" si="17"/>
        <v>718.14079422382679</v>
      </c>
      <c r="F52" s="13">
        <f t="shared" si="14"/>
        <v>118.59205776173285</v>
      </c>
      <c r="G52" s="28">
        <f t="shared" si="15"/>
        <v>1.9765342960288808</v>
      </c>
      <c r="H52" s="29">
        <f t="shared" si="16"/>
        <v>0.63326750437745227</v>
      </c>
      <c r="J52" s="65" t="s">
        <v>30</v>
      </c>
      <c r="K52" s="66"/>
      <c r="L52" s="67" t="s">
        <v>27</v>
      </c>
      <c r="M52" s="41">
        <f>M47</f>
        <v>1557</v>
      </c>
    </row>
    <row r="53" spans="2:13">
      <c r="B53" s="26">
        <v>8</v>
      </c>
      <c r="C53" s="34">
        <v>76</v>
      </c>
      <c r="D53" s="14">
        <f t="shared" si="13"/>
        <v>7.6000000000000005</v>
      </c>
      <c r="E53" s="13">
        <f t="shared" si="17"/>
        <v>747.6534296028882</v>
      </c>
      <c r="F53" s="13">
        <f t="shared" si="14"/>
        <v>123.46570397111914</v>
      </c>
      <c r="G53" s="28">
        <f t="shared" si="15"/>
        <v>2.0577617328519855</v>
      </c>
      <c r="H53" s="29">
        <f t="shared" si="16"/>
        <v>0.71034736080667205</v>
      </c>
      <c r="J53" s="68" t="s">
        <v>34</v>
      </c>
      <c r="K53" s="58"/>
      <c r="L53" s="69" t="s">
        <v>32</v>
      </c>
      <c r="M53" s="73">
        <v>1</v>
      </c>
    </row>
    <row r="54" spans="2:13">
      <c r="B54" s="26">
        <v>9</v>
      </c>
      <c r="C54" s="34">
        <v>0</v>
      </c>
      <c r="D54" s="14">
        <f t="shared" ref="D54:D55" si="18">C54*0.1</f>
        <v>0</v>
      </c>
      <c r="E54" s="13">
        <f t="shared" si="17"/>
        <v>0</v>
      </c>
      <c r="F54" s="13">
        <f t="shared" si="14"/>
        <v>0</v>
      </c>
      <c r="G54" s="28">
        <f t="shared" si="15"/>
        <v>0</v>
      </c>
      <c r="H54" s="29">
        <f t="shared" si="16"/>
        <v>0</v>
      </c>
      <c r="J54" s="70" t="s">
        <v>35</v>
      </c>
      <c r="K54" s="60"/>
      <c r="L54" s="71" t="s">
        <v>32</v>
      </c>
      <c r="M54" s="72">
        <f>M53+M49+M33+M30+ M29</f>
        <v>2.7006461530457422</v>
      </c>
    </row>
    <row r="55" spans="2:13">
      <c r="B55" s="23">
        <v>10</v>
      </c>
      <c r="C55" s="21">
        <v>0</v>
      </c>
      <c r="D55" s="15">
        <f t="shared" si="18"/>
        <v>0</v>
      </c>
      <c r="E55" s="13">
        <f t="shared" si="17"/>
        <v>0</v>
      </c>
      <c r="F55" s="16">
        <f t="shared" si="14"/>
        <v>0</v>
      </c>
      <c r="G55" s="48">
        <f t="shared" si="15"/>
        <v>0</v>
      </c>
      <c r="H55" s="49">
        <f t="shared" si="16"/>
        <v>0</v>
      </c>
    </row>
    <row r="56" spans="2:13">
      <c r="B56" s="17"/>
      <c r="C56" s="31">
        <f>C46+C47+C48+C49+C50+C51+C52+C53</f>
        <v>554</v>
      </c>
      <c r="D56" s="31">
        <f>D46+D47+D48+D49+D50+D51+D52+D53</f>
        <v>55.4</v>
      </c>
      <c r="E56" s="32">
        <f t="shared" si="17"/>
        <v>5450</v>
      </c>
      <c r="F56" s="32">
        <f>F46+F47+F48+F49+F50+F51+F52+F53</f>
        <v>900</v>
      </c>
      <c r="G56" s="48">
        <f t="shared" si="15"/>
        <v>15</v>
      </c>
      <c r="H56" s="17"/>
    </row>
    <row r="59" spans="2:13">
      <c r="F59" s="84" t="s">
        <v>39</v>
      </c>
      <c r="G59" s="83"/>
    </row>
  </sheetData>
  <sheetProtection password="F3B8" sheet="1" objects="1" scenarios="1"/>
  <mergeCells count="4">
    <mergeCell ref="F2:M2"/>
    <mergeCell ref="F4:M4"/>
    <mergeCell ref="F3:M3"/>
    <mergeCell ref="F59:G59"/>
  </mergeCells>
  <pageMargins left="0.7" right="0.7" top="0.75" bottom="0.75" header="0.3" footer="0.3"/>
  <pageSetup paperSize="9" scale="52" orientation="portrait" horizontalDpi="0" verticalDpi="0" r:id="rId1"/>
  <drawing r:id="rId2"/>
  <legacyDrawing r:id="rId3"/>
  <oleObjects>
    <oleObject progId="AutoCAD.Drawing.18" shapeId="1025" r:id="rId4"/>
    <oleObject progId="AutoCAD.Drawing.18" shapeId="1026" r:id="rId5"/>
    <oleObject progId="AutoCAD.Drawing.18" shapeId="1030" r:id="rId6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2023-09-16T14:00:38Z</dcterms:created>
  <dcterms:modified xsi:type="dcterms:W3CDTF">2023-09-18T07:01:55Z</dcterms:modified>
</cp:coreProperties>
</file>