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-330" windowWidth="20280" windowHeight="9945"/>
  </bookViews>
  <sheets>
    <sheet name="Foglio1" sheetId="1" r:id="rId1"/>
  </sheets>
  <definedNames>
    <definedName name="_xlnm.Print_Area" localSheetId="0">Foglio1!$A$1:$R$129</definedName>
    <definedName name="Z_4BED42D2_EED8_4216_8E0B_F832B8F9A49A_.wvu.PrintArea" localSheetId="0" hidden="1">Foglio1!$A$1:$Z$129</definedName>
  </definedNames>
  <calcPr calcId="125725"/>
  <customWorkbookViews>
    <customWorkbookView name="riglello laterale" guid="{4BED42D2-EED8-4216-8E0B-F832B8F9A49A}" xWindow="-122" yWindow="10" windowWidth="1283" windowHeight="632" activeSheetId="1"/>
  </customWorkbookViews>
</workbook>
</file>

<file path=xl/calcChain.xml><?xml version="1.0" encoding="utf-8"?>
<calcChain xmlns="http://schemas.openxmlformats.org/spreadsheetml/2006/main">
  <c r="O23" i="1"/>
  <c r="O21"/>
  <c r="N28"/>
  <c r="N27"/>
  <c r="N26"/>
  <c r="O18" l="1"/>
  <c r="O16"/>
  <c r="E37"/>
  <c r="E61"/>
  <c r="E60"/>
  <c r="E59"/>
  <c r="E43" l="1"/>
  <c r="E32"/>
  <c r="E38" s="1"/>
  <c r="E44" l="1"/>
  <c r="E22"/>
  <c r="E15"/>
  <c r="E8"/>
  <c r="E26" l="1"/>
  <c r="E25"/>
  <c r="E9"/>
  <c r="D59"/>
  <c r="E16"/>
  <c r="D60"/>
  <c r="E11"/>
  <c r="E29"/>
  <c r="E18"/>
  <c r="E27" l="1"/>
  <c r="E31"/>
  <c r="I59"/>
  <c r="M59" s="1"/>
  <c r="K59"/>
  <c r="K60"/>
  <c r="I60"/>
  <c r="D61" l="1"/>
  <c r="E46"/>
  <c r="M60"/>
  <c r="K61" l="1"/>
  <c r="I61"/>
  <c r="E48"/>
  <c r="E47"/>
  <c r="M61" l="1"/>
  <c r="M62" s="1"/>
  <c r="N60" l="1"/>
  <c r="O60" s="1"/>
  <c r="P60" s="1"/>
  <c r="N59"/>
  <c r="O59" s="1"/>
  <c r="P59" s="1"/>
  <c r="N61"/>
  <c r="O61" s="1"/>
  <c r="P61" s="1"/>
</calcChain>
</file>

<file path=xl/comments1.xml><?xml version="1.0" encoding="utf-8"?>
<comments xmlns="http://schemas.openxmlformats.org/spreadsheetml/2006/main">
  <authors>
    <author>utente</author>
  </authors>
  <commentList>
    <comment ref="M59" authorId="0">
      <text>
        <r>
          <rPr>
            <b/>
            <sz val="8"/>
            <color indexed="81"/>
            <rFont val="Tahoma"/>
            <family val="2"/>
          </rPr>
          <t>utente: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<sst xmlns="http://schemas.openxmlformats.org/spreadsheetml/2006/main" count="192" uniqueCount="126">
  <si>
    <t>N°</t>
  </si>
  <si>
    <t>SCHEDA DI CALCOLO PREVENTIVAZIONE</t>
  </si>
  <si>
    <t>m</t>
  </si>
  <si>
    <t>L/h</t>
  </si>
  <si>
    <t>L</t>
  </si>
  <si>
    <t>Secondario:</t>
  </si>
  <si>
    <t>Perdita di carico</t>
  </si>
  <si>
    <t>kcal/h</t>
  </si>
  <si>
    <t>presunta differenza temperatura</t>
  </si>
  <si>
    <t>∆T °C</t>
  </si>
  <si>
    <t>Portata oraria</t>
  </si>
  <si>
    <t>l/h</t>
  </si>
  <si>
    <t>Diametro tubazione</t>
  </si>
  <si>
    <t>Di. Mm</t>
  </si>
  <si>
    <t>Sviluppo tubazione andata e ritorno</t>
  </si>
  <si>
    <t>L m</t>
  </si>
  <si>
    <t>Perdita diu carico</t>
  </si>
  <si>
    <t>∆p  m</t>
  </si>
  <si>
    <r>
      <rPr>
        <b/>
        <sz val="20"/>
        <color theme="1"/>
        <rFont val="Calibri"/>
        <family val="2"/>
        <scheme val="minor"/>
      </rPr>
      <t>Linea 1</t>
    </r>
    <r>
      <rPr>
        <sz val="20"/>
        <color theme="1"/>
        <rFont val="Calibri"/>
        <family val="2"/>
        <scheme val="minor"/>
      </rPr>
      <t xml:space="preserve">  potenzialità  oraria </t>
    </r>
  </si>
  <si>
    <r>
      <rPr>
        <b/>
        <sz val="20"/>
        <color theme="1"/>
        <rFont val="Calibri"/>
        <family val="2"/>
        <scheme val="minor"/>
      </rPr>
      <t>Linea 2</t>
    </r>
    <r>
      <rPr>
        <sz val="20"/>
        <color theme="1"/>
        <rFont val="Calibri"/>
        <family val="2"/>
        <scheme val="minor"/>
      </rPr>
      <t xml:space="preserve">  potenzialità  oraria </t>
    </r>
  </si>
  <si>
    <t>%</t>
  </si>
  <si>
    <t>Linea 3 Produzione ACS</t>
  </si>
  <si>
    <t>L/g</t>
  </si>
  <si>
    <t>°C</t>
  </si>
  <si>
    <t>h</t>
  </si>
  <si>
    <t>Percentale di produzione solare termico</t>
  </si>
  <si>
    <t>Residuo produzione alla caldaia</t>
  </si>
  <si>
    <t>Ore utilizzo ACS</t>
  </si>
  <si>
    <t>Lunghezza tubazione andata ritorno</t>
  </si>
  <si>
    <t>Scambiatore a piastre</t>
  </si>
  <si>
    <t>Potenzialità installata</t>
  </si>
  <si>
    <t>temperatura T1 primario</t>
  </si>
  <si>
    <t>temperatura T2 primario</t>
  </si>
  <si>
    <t>Superficie scambiatore</t>
  </si>
  <si>
    <t>m2</t>
  </si>
  <si>
    <t xml:space="preserve">Scambiatore tipo </t>
  </si>
  <si>
    <t>Dimensione piastra</t>
  </si>
  <si>
    <t>L1 m</t>
  </si>
  <si>
    <t>L2 m</t>
  </si>
  <si>
    <t>Superficie di scambio</t>
  </si>
  <si>
    <t>Numero piastre</t>
  </si>
  <si>
    <t>marca</t>
  </si>
  <si>
    <t>Kcal/h</t>
  </si>
  <si>
    <t>Temperatura alimentazione  T3</t>
  </si>
  <si>
    <t>temperatura T4 secondario</t>
  </si>
  <si>
    <t>Elbi</t>
  </si>
  <si>
    <t>Fiorini</t>
  </si>
  <si>
    <t>Zilmet</t>
  </si>
  <si>
    <t>Pacetti</t>
  </si>
  <si>
    <t>PACETTI</t>
  </si>
  <si>
    <t>SCAMBIATORI A PIASTRE SALDOBRASATI</t>
  </si>
  <si>
    <t>Dimensioni</t>
  </si>
  <si>
    <t>H</t>
  </si>
  <si>
    <t>Portata complessiva</t>
  </si>
  <si>
    <t>Di</t>
  </si>
  <si>
    <t>Collettore secondario</t>
  </si>
  <si>
    <t>diametro estremità</t>
  </si>
  <si>
    <t>Diametro corpo del secondario</t>
  </si>
  <si>
    <t>Balvola di bilanciamento linea 1</t>
  </si>
  <si>
    <t>colonna</t>
  </si>
  <si>
    <t>D  comm.</t>
  </si>
  <si>
    <t>D  tubaz.</t>
  </si>
  <si>
    <t>Kv</t>
  </si>
  <si>
    <t>∆p</t>
  </si>
  <si>
    <t>∆p Bar</t>
  </si>
  <si>
    <t>∆p bar</t>
  </si>
  <si>
    <t>giri in</t>
  </si>
  <si>
    <t>d mm</t>
  </si>
  <si>
    <t xml:space="preserve"> pollici</t>
  </si>
  <si>
    <t xml:space="preserve"> D valv.</t>
  </si>
  <si>
    <t>valvola</t>
  </si>
  <si>
    <t>M + R</t>
  </si>
  <si>
    <t>tubazion.</t>
  </si>
  <si>
    <t>totale</t>
  </si>
  <si>
    <t>Valvola</t>
  </si>
  <si>
    <t>m3/h</t>
  </si>
  <si>
    <t>apert.</t>
  </si>
  <si>
    <t xml:space="preserve">(11) </t>
  </si>
  <si>
    <t>1"1/4</t>
  </si>
  <si>
    <t>1"</t>
  </si>
  <si>
    <t>3/4"</t>
  </si>
  <si>
    <t>D</t>
  </si>
  <si>
    <t>1/2"</t>
  </si>
  <si>
    <t>2</t>
  </si>
  <si>
    <t>collettore</t>
  </si>
  <si>
    <t>0,2</t>
  </si>
  <si>
    <t>Potenzilità richiesta per il riscal. caldaia</t>
  </si>
  <si>
    <t>giri in apertura</t>
  </si>
  <si>
    <t>Balvola di bilanciamento linea 2</t>
  </si>
  <si>
    <t>e terminale</t>
  </si>
  <si>
    <t>Kvs</t>
  </si>
  <si>
    <t>TIEMME</t>
  </si>
  <si>
    <t>RBM</t>
  </si>
  <si>
    <t>GIRI</t>
  </si>
  <si>
    <t>OVERTROP</t>
  </si>
  <si>
    <t>CAMINI &amp; CAMINI</t>
  </si>
  <si>
    <t>TMC</t>
  </si>
  <si>
    <t>IMPIANTI DI RISCALDAMENTO  E PRODUZIONE ACS</t>
  </si>
  <si>
    <t>con caldaia policombustibile</t>
  </si>
  <si>
    <t xml:space="preserve"> valvola </t>
  </si>
  <si>
    <t>Bianciam.</t>
  </si>
  <si>
    <t>Bilanciam.</t>
  </si>
  <si>
    <t>COMPUTO VALVOLA DI BILANCIAMENTO</t>
  </si>
  <si>
    <t>Temperatura acqua di riscaldo</t>
  </si>
  <si>
    <t>Potenzialità  termica per il S.T.</t>
  </si>
  <si>
    <t>resa termica P.S</t>
  </si>
  <si>
    <t>kWh / m2 g</t>
  </si>
  <si>
    <t>kWh / g</t>
  </si>
  <si>
    <t>Sup. assorbente richiesta</t>
  </si>
  <si>
    <t>Pannelli solari termici</t>
  </si>
  <si>
    <t>Assorbitore m2</t>
  </si>
  <si>
    <t>ARCA</t>
  </si>
  <si>
    <t>2,018 x 1,037</t>
  </si>
  <si>
    <t>Koblen</t>
  </si>
  <si>
    <t>1,990 x 1,092</t>
  </si>
  <si>
    <t>Cordivari</t>
  </si>
  <si>
    <t>2,100 x 1,200</t>
  </si>
  <si>
    <t>S m2</t>
  </si>
  <si>
    <t>P.S.</t>
  </si>
  <si>
    <t>piano</t>
  </si>
  <si>
    <t>S. tot. Pannelli</t>
  </si>
  <si>
    <t xml:space="preserve">Pallelli </t>
  </si>
  <si>
    <t>n°</t>
  </si>
  <si>
    <t>Superficie singolo pannello</t>
  </si>
  <si>
    <t>S  assorbente  pannello</t>
  </si>
  <si>
    <t>CORDIVARI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</si>
</sst>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"/>
    <numFmt numFmtId="165" formatCode="0.000"/>
    <numFmt numFmtId="166" formatCode="0.00000"/>
    <numFmt numFmtId="167" formatCode="0.0000"/>
    <numFmt numFmtId="168" formatCode="_-* #,##0.00000_-;\-* #,##0.00000_-;_-* &quot;-&quot;??_-;_-@_-"/>
  </numFmts>
  <fonts count="52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color indexed="12"/>
      <name val="Arial Narrow"/>
      <family val="2"/>
    </font>
    <font>
      <sz val="16"/>
      <color theme="1"/>
      <name val="Calibri"/>
      <family val="2"/>
      <scheme val="minor"/>
    </font>
    <font>
      <sz val="20"/>
      <name val="Arial"/>
      <family val="2"/>
    </font>
    <font>
      <b/>
      <sz val="20"/>
      <color rgb="FFC00000"/>
      <name val="Arial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20"/>
      <color rgb="FFFF0000"/>
      <name val="Arial Narrow"/>
      <family val="2"/>
    </font>
    <font>
      <u/>
      <sz val="11"/>
      <color theme="10"/>
      <name val="Calibri"/>
      <family val="2"/>
    </font>
    <font>
      <sz val="24"/>
      <color theme="1"/>
      <name val="Arial"/>
      <family val="2"/>
    </font>
    <font>
      <b/>
      <sz val="22"/>
      <color rgb="FFFF0000"/>
      <name val="Arial Black"/>
      <family val="2"/>
    </font>
    <font>
      <sz val="22"/>
      <color rgb="FFFF0000"/>
      <name val="Arial Black"/>
      <family val="2"/>
    </font>
    <font>
      <i/>
      <sz val="20"/>
      <color theme="1"/>
      <name val="Arial Narrow"/>
      <family val="2"/>
    </font>
    <font>
      <u/>
      <sz val="20"/>
      <color theme="10"/>
      <name val="Arial Narrow"/>
      <family val="2"/>
    </font>
    <font>
      <b/>
      <sz val="20"/>
      <color theme="0"/>
      <name val="Arial Narrow"/>
      <family val="2"/>
    </font>
    <font>
      <sz val="20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FF0000"/>
      <name val="Arial"/>
      <family val="2"/>
    </font>
    <font>
      <b/>
      <sz val="20"/>
      <color rgb="FFFF0000"/>
      <name val="Arial Rounded MT Bold"/>
      <family val="2"/>
    </font>
    <font>
      <b/>
      <sz val="24"/>
      <color theme="0"/>
      <name val="Arial"/>
      <family val="2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sz val="20"/>
      <name val="Calibri"/>
      <family val="2"/>
    </font>
    <font>
      <b/>
      <sz val="24"/>
      <name val="Arial Narrow"/>
      <family val="2"/>
    </font>
    <font>
      <b/>
      <sz val="24"/>
      <color theme="1"/>
      <name val="Calibri"/>
      <family val="2"/>
      <scheme val="minor"/>
    </font>
    <font>
      <sz val="20"/>
      <color theme="0"/>
      <name val="Arial Narrow"/>
      <family val="2"/>
    </font>
    <font>
      <b/>
      <sz val="24"/>
      <name val="Calibri"/>
      <family val="2"/>
      <scheme val="minor"/>
    </font>
    <font>
      <b/>
      <i/>
      <sz val="22"/>
      <name val="Arial Black"/>
      <family val="2"/>
    </font>
    <font>
      <i/>
      <sz val="22"/>
      <name val="Arial Black"/>
      <family val="2"/>
    </font>
    <font>
      <b/>
      <sz val="24"/>
      <color rgb="FF0070C0"/>
      <name val="Arial Black"/>
      <family val="2"/>
    </font>
    <font>
      <sz val="24"/>
      <color rgb="FF0070C0"/>
      <name val="Arial Black"/>
      <family val="2"/>
    </font>
    <font>
      <sz val="24"/>
      <color theme="1"/>
      <name val="Calibri"/>
      <family val="2"/>
      <scheme val="minor"/>
    </font>
    <font>
      <sz val="2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36" fillId="0" borderId="0" applyFont="0" applyFill="0" applyBorder="0" applyAlignment="0" applyProtection="0"/>
  </cellStyleXfs>
  <cellXfs count="321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Border="1"/>
    <xf numFmtId="0" fontId="14" fillId="0" borderId="0" xfId="0" applyFont="1" applyFill="1" applyBorder="1" applyAlignment="1">
      <alignment horizontal="center"/>
    </xf>
    <xf numFmtId="0" fontId="12" fillId="0" borderId="0" xfId="0" applyFont="1" applyProtection="1"/>
    <xf numFmtId="0" fontId="12" fillId="0" borderId="0" xfId="0" applyFont="1" applyBorder="1" applyProtection="1"/>
    <xf numFmtId="0" fontId="0" fillId="0" borderId="0" xfId="0" applyFill="1" applyBorder="1"/>
    <xf numFmtId="0" fontId="7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16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164" fontId="12" fillId="0" borderId="0" xfId="0" applyNumberFormat="1" applyFont="1" applyFill="1" applyBorder="1" applyAlignment="1" applyProtection="1">
      <alignment horizontal="left" vertical="center"/>
      <protection hidden="1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0" xfId="0" applyFill="1" applyBorder="1" applyProtection="1"/>
    <xf numFmtId="0" fontId="9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1" fontId="17" fillId="0" borderId="0" xfId="0" applyNumberFormat="1" applyFont="1" applyFill="1" applyBorder="1" applyAlignment="1" applyProtection="1">
      <alignment horizontal="center" vertical="center"/>
      <protection hidden="1"/>
    </xf>
    <xf numFmtId="164" fontId="17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locked="0" hidden="1"/>
    </xf>
    <xf numFmtId="164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/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  <protection locked="0" hidden="1"/>
    </xf>
    <xf numFmtId="0" fontId="7" fillId="0" borderId="0" xfId="0" applyFont="1" applyAlignment="1" applyProtection="1">
      <alignment horizontal="left" vertical="center"/>
    </xf>
    <xf numFmtId="1" fontId="7" fillId="0" borderId="0" xfId="0" applyNumberFormat="1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"/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164" fontId="15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1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locked="0" hidden="1"/>
    </xf>
    <xf numFmtId="165" fontId="15" fillId="0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164" fontId="17" fillId="0" borderId="0" xfId="0" applyNumberFormat="1" applyFont="1" applyFill="1" applyBorder="1" applyAlignment="1" applyProtection="1">
      <alignment horizontal="center"/>
      <protection locked="0" hidden="1"/>
    </xf>
    <xf numFmtId="0" fontId="7" fillId="0" borderId="0" xfId="0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vertical="center"/>
      <protection locked="0" hidden="1"/>
    </xf>
    <xf numFmtId="0" fontId="1" fillId="0" borderId="0" xfId="0" applyFont="1" applyFill="1" applyBorder="1" applyAlignment="1" applyProtection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/>
      <protection hidden="1"/>
    </xf>
    <xf numFmtId="1" fontId="7" fillId="0" borderId="0" xfId="0" applyNumberFormat="1" applyFont="1" applyFill="1" applyBorder="1" applyAlignment="1" applyProtection="1">
      <alignment horizontal="center" vertical="center"/>
      <protection locked="0" hidden="1"/>
    </xf>
    <xf numFmtId="1" fontId="7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49" fontId="26" fillId="0" borderId="4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164" fontId="27" fillId="0" borderId="0" xfId="1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/>
    </xf>
    <xf numFmtId="164" fontId="7" fillId="2" borderId="2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Alignment="1" applyProtection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Protection="1"/>
    <xf numFmtId="1" fontId="28" fillId="0" borderId="0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>
      <alignment horizontal="left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30" fillId="0" borderId="0" xfId="0" applyFont="1" applyBorder="1"/>
    <xf numFmtId="0" fontId="31" fillId="0" borderId="0" xfId="0" applyFont="1" applyBorder="1"/>
    <xf numFmtId="0" fontId="10" fillId="0" borderId="8" xfId="0" applyFont="1" applyFill="1" applyBorder="1" applyAlignment="1" applyProtection="1">
      <alignment horizontal="left"/>
      <protection hidden="1"/>
    </xf>
    <xf numFmtId="0" fontId="7" fillId="0" borderId="4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7" fillId="0" borderId="7" xfId="0" applyFont="1" applyBorder="1" applyAlignment="1">
      <alignment horizontal="center" vertical="center"/>
    </xf>
    <xf numFmtId="2" fontId="34" fillId="0" borderId="0" xfId="0" applyNumberFormat="1" applyFont="1" applyFill="1" applyAlignment="1" applyProtection="1">
      <alignment horizontal="center" vertical="center"/>
      <protection hidden="1"/>
    </xf>
    <xf numFmtId="0" fontId="10" fillId="0" borderId="0" xfId="0" applyFont="1" applyFill="1" applyBorder="1" applyAlignment="1">
      <alignment horizontal="left"/>
    </xf>
    <xf numFmtId="0" fontId="33" fillId="0" borderId="0" xfId="0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left" vertical="center"/>
    </xf>
    <xf numFmtId="0" fontId="29" fillId="0" borderId="5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8" xfId="0" applyFont="1" applyBorder="1" applyProtection="1"/>
    <xf numFmtId="0" fontId="12" fillId="0" borderId="1" xfId="0" applyFont="1" applyBorder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Protection="1"/>
    <xf numFmtId="164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64" fontId="10" fillId="2" borderId="5" xfId="0" applyNumberFormat="1" applyFont="1" applyFill="1" applyBorder="1" applyAlignment="1" applyProtection="1">
      <alignment horizontal="center" vertical="center"/>
      <protection locked="0" hidden="1"/>
    </xf>
    <xf numFmtId="165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65" fontId="7" fillId="3" borderId="2" xfId="0" applyNumberFormat="1" applyFont="1" applyFill="1" applyBorder="1" applyAlignment="1" applyProtection="1">
      <alignment horizontal="center" vertical="center"/>
      <protection hidden="1"/>
    </xf>
    <xf numFmtId="2" fontId="7" fillId="3" borderId="5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 applyProtection="1">
      <alignment horizontal="center" vertical="center"/>
      <protection hidden="1"/>
    </xf>
    <xf numFmtId="49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left"/>
    </xf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 hidden="1"/>
    </xf>
    <xf numFmtId="0" fontId="8" fillId="0" borderId="0" xfId="0" applyFont="1" applyProtection="1"/>
    <xf numFmtId="2" fontId="7" fillId="0" borderId="0" xfId="0" applyNumberFormat="1" applyFont="1" applyFill="1" applyBorder="1" applyAlignment="1" applyProtection="1">
      <alignment horizontal="center" vertical="center"/>
      <protection hidden="1"/>
    </xf>
    <xf numFmtId="167" fontId="7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 hidden="1"/>
    </xf>
    <xf numFmtId="166" fontId="37" fillId="0" borderId="0" xfId="0" applyNumberFormat="1" applyFont="1" applyFill="1" applyBorder="1" applyAlignment="1" applyProtection="1">
      <alignment horizontal="center" vertical="center"/>
      <protection hidden="1"/>
    </xf>
    <xf numFmtId="1" fontId="37" fillId="0" borderId="0" xfId="0" applyNumberFormat="1" applyFont="1" applyFill="1" applyBorder="1" applyAlignment="1" applyProtection="1">
      <alignment horizontal="center"/>
      <protection hidden="1"/>
    </xf>
    <xf numFmtId="2" fontId="37" fillId="0" borderId="0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Font="1" applyFill="1" applyBorder="1" applyAlignment="1" applyProtection="1">
      <alignment horizontal="center" vertical="center"/>
      <protection locked="0" hidden="1"/>
    </xf>
    <xf numFmtId="2" fontId="7" fillId="4" borderId="0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locked="0" hidden="1"/>
    </xf>
    <xf numFmtId="164" fontId="7" fillId="0" borderId="0" xfId="0" applyNumberFormat="1" applyFont="1" applyFill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41" fillId="0" borderId="2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166" fontId="7" fillId="3" borderId="2" xfId="0" applyNumberFormat="1" applyFont="1" applyFill="1" applyBorder="1" applyAlignment="1" applyProtection="1">
      <alignment horizontal="center" vertical="center"/>
      <protection hidden="1"/>
    </xf>
    <xf numFmtId="2" fontId="7" fillId="3" borderId="2" xfId="0" applyNumberFormat="1" applyFont="1" applyFill="1" applyBorder="1" applyAlignment="1" applyProtection="1">
      <alignment horizontal="center" vertical="center"/>
      <protection hidden="1"/>
    </xf>
    <xf numFmtId="164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49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64" fontId="7" fillId="3" borderId="5" xfId="0" applyNumberFormat="1" applyFont="1" applyFill="1" applyBorder="1" applyAlignment="1" applyProtection="1">
      <alignment horizontal="center" vertical="center"/>
      <protection hidden="1"/>
    </xf>
    <xf numFmtId="16" fontId="7" fillId="2" borderId="5" xfId="0" applyNumberFormat="1" applyFont="1" applyFill="1" applyBorder="1" applyAlignment="1" applyProtection="1">
      <alignment horizontal="center" vertical="center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49" fontId="10" fillId="2" borderId="5" xfId="0" applyNumberFormat="1" applyFont="1" applyFill="1" applyBorder="1" applyAlignment="1" applyProtection="1">
      <alignment horizontal="center" vertical="center"/>
      <protection locked="0" hidden="1"/>
    </xf>
    <xf numFmtId="166" fontId="7" fillId="3" borderId="5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hidden="1"/>
    </xf>
    <xf numFmtId="0" fontId="7" fillId="0" borderId="8" xfId="0" applyFont="1" applyFill="1" applyBorder="1" applyProtection="1"/>
    <xf numFmtId="0" fontId="7" fillId="0" borderId="4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/>
    </xf>
    <xf numFmtId="0" fontId="7" fillId="0" borderId="4" xfId="0" applyFont="1" applyFill="1" applyBorder="1" applyProtection="1"/>
    <xf numFmtId="0" fontId="7" fillId="0" borderId="12" xfId="0" applyFont="1" applyFill="1" applyBorder="1" applyProtection="1"/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2" fontId="10" fillId="0" borderId="3" xfId="0" applyNumberFormat="1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Fill="1" applyBorder="1" applyAlignment="1" applyProtection="1">
      <alignment horizontal="left"/>
      <protection hidden="1"/>
    </xf>
    <xf numFmtId="168" fontId="44" fillId="0" borderId="0" xfId="2" applyNumberFormat="1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hidden="1"/>
    </xf>
    <xf numFmtId="49" fontId="10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vertical="center"/>
    </xf>
    <xf numFmtId="2" fontId="7" fillId="0" borderId="2" xfId="0" applyNumberFormat="1" applyFont="1" applyFill="1" applyBorder="1" applyAlignment="1" applyProtection="1">
      <alignment horizontal="center" vertical="center"/>
      <protection hidden="1"/>
    </xf>
    <xf numFmtId="2" fontId="12" fillId="0" borderId="2" xfId="0" applyNumberFormat="1" applyFont="1" applyFill="1" applyBorder="1" applyAlignment="1" applyProtection="1">
      <alignment horizontal="center" vertical="center"/>
    </xf>
    <xf numFmtId="2" fontId="7" fillId="0" borderId="5" xfId="0" applyNumberFormat="1" applyFont="1" applyFill="1" applyBorder="1" applyAlignment="1" applyProtection="1">
      <alignment horizontal="center" vertical="center"/>
      <protection hidden="1"/>
    </xf>
    <xf numFmtId="2" fontId="7" fillId="0" borderId="3" xfId="0" applyNumberFormat="1" applyFont="1" applyFill="1" applyBorder="1" applyAlignment="1" applyProtection="1">
      <alignment horizontal="center" vertical="center"/>
      <protection hidden="1"/>
    </xf>
    <xf numFmtId="0" fontId="50" fillId="0" borderId="0" xfId="0" applyFont="1" applyProtection="1"/>
    <xf numFmtId="0" fontId="43" fillId="0" borderId="0" xfId="0" applyFont="1" applyAlignment="1" applyProtection="1"/>
    <xf numFmtId="0" fontId="8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/>
    <xf numFmtId="0" fontId="13" fillId="0" borderId="8" xfId="0" applyFont="1" applyBorder="1" applyProtection="1"/>
    <xf numFmtId="0" fontId="7" fillId="0" borderId="4" xfId="0" applyFont="1" applyFill="1" applyBorder="1" applyAlignment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164" fontId="7" fillId="0" borderId="4" xfId="0" applyNumberFormat="1" applyFont="1" applyFill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vertical="center"/>
    </xf>
    <xf numFmtId="0" fontId="7" fillId="0" borderId="12" xfId="0" applyFont="1" applyBorder="1" applyProtection="1"/>
    <xf numFmtId="0" fontId="7" fillId="0" borderId="2" xfId="0" applyFont="1" applyBorder="1" applyAlignment="1" applyProtection="1">
      <alignment vertical="center"/>
    </xf>
    <xf numFmtId="0" fontId="7" fillId="0" borderId="2" xfId="0" applyFont="1" applyFill="1" applyBorder="1" applyAlignment="1">
      <alignment horizontal="center"/>
    </xf>
    <xf numFmtId="49" fontId="23" fillId="0" borderId="0" xfId="0" applyNumberFormat="1" applyFont="1" applyFill="1" applyBorder="1" applyAlignment="1" applyProtection="1">
      <protection locked="0"/>
    </xf>
    <xf numFmtId="49" fontId="0" fillId="0" borderId="0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2" fontId="18" fillId="0" borderId="0" xfId="0" applyNumberFormat="1" applyFont="1" applyFill="1" applyBorder="1" applyAlignment="1" applyProtection="1">
      <alignment horizontal="center" vertical="center"/>
      <protection locked="0"/>
    </xf>
    <xf numFmtId="2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2" fillId="0" borderId="0" xfId="0" applyFont="1" applyAlignment="1" applyProtection="1">
      <protection locked="0"/>
    </xf>
    <xf numFmtId="1" fontId="12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Protection="1">
      <protection locked="0"/>
    </xf>
    <xf numFmtId="164" fontId="12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7" fillId="0" borderId="4" xfId="0" applyFont="1" applyBorder="1" applyProtection="1"/>
    <xf numFmtId="0" fontId="51" fillId="0" borderId="13" xfId="0" applyFont="1" applyBorder="1" applyProtection="1"/>
    <xf numFmtId="0" fontId="51" fillId="0" borderId="5" xfId="0" applyFont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42" fillId="0" borderId="0" xfId="0" applyNumberFormat="1" applyFont="1" applyBorder="1" applyAlignment="1">
      <alignment horizontal="center"/>
    </xf>
    <xf numFmtId="1" fontId="40" fillId="0" borderId="0" xfId="0" applyNumberFormat="1" applyFont="1" applyFill="1" applyBorder="1" applyAlignment="1" applyProtection="1">
      <alignment horizontal="center" vertical="center"/>
      <protection hidden="1"/>
    </xf>
    <xf numFmtId="1" fontId="17" fillId="0" borderId="0" xfId="0" applyNumberFormat="1" applyFont="1" applyFill="1" applyBorder="1" applyAlignment="1" applyProtection="1">
      <alignment horizontal="center" vertical="center"/>
      <protection hidden="1"/>
    </xf>
    <xf numFmtId="2" fontId="7" fillId="0" borderId="6" xfId="0" applyNumberFormat="1" applyFont="1" applyFill="1" applyBorder="1" applyAlignment="1" applyProtection="1">
      <alignment horizontal="center" vertical="center"/>
      <protection hidden="1"/>
    </xf>
    <xf numFmtId="2" fontId="7" fillId="0" borderId="10" xfId="0" applyNumberFormat="1" applyFont="1" applyFill="1" applyBorder="1" applyAlignment="1" applyProtection="1">
      <alignment horizontal="center" vertical="center"/>
      <protection hidden="1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164" fontId="7" fillId="0" borderId="4" xfId="0" applyNumberFormat="1" applyFont="1" applyFill="1" applyBorder="1" applyAlignment="1" applyProtection="1">
      <alignment horizontal="left" vertical="center"/>
      <protection hidden="1"/>
    </xf>
    <xf numFmtId="164" fontId="7" fillId="0" borderId="0" xfId="0" applyNumberFormat="1" applyFont="1" applyFill="1" applyBorder="1" applyAlignment="1" applyProtection="1">
      <alignment horizontal="left" vertical="center"/>
      <protection hidden="1"/>
    </xf>
    <xf numFmtId="164" fontId="7" fillId="0" borderId="8" xfId="0" applyNumberFormat="1" applyFont="1" applyFill="1" applyBorder="1" applyAlignment="1" applyProtection="1">
      <alignment horizontal="center" vertical="center"/>
      <protection hidden="1"/>
    </xf>
    <xf numFmtId="164" fontId="7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0" fillId="0" borderId="0" xfId="0" applyFont="1" applyFill="1" applyBorder="1" applyAlignment="1">
      <alignment horizontal="center"/>
    </xf>
    <xf numFmtId="0" fontId="4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164" fontId="9" fillId="0" borderId="0" xfId="0" applyNumberFormat="1" applyFont="1" applyFill="1" applyBorder="1" applyAlignment="1" applyProtection="1">
      <alignment horizontal="left" vertical="center"/>
      <protection hidden="1"/>
    </xf>
    <xf numFmtId="0" fontId="35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48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" fontId="10" fillId="2" borderId="1" xfId="0" applyNumberFormat="1" applyFont="1" applyFill="1" applyBorder="1" applyAlignment="1" applyProtection="1">
      <alignment horizontal="center" vertical="center"/>
      <protection locked="0" hidden="1"/>
    </xf>
    <xf numFmtId="1" fontId="10" fillId="3" borderId="2" xfId="0" applyNumberFormat="1" applyFont="1" applyFill="1" applyBorder="1" applyAlignment="1" applyProtection="1">
      <alignment horizontal="center" vertical="center"/>
      <protection hidden="1"/>
    </xf>
    <xf numFmtId="2" fontId="7" fillId="2" borderId="2" xfId="0" applyNumberFormat="1" applyFont="1" applyFill="1" applyBorder="1" applyAlignment="1" applyProtection="1">
      <alignment horizontal="center" vertical="center"/>
      <protection locked="0" hidden="1"/>
    </xf>
    <xf numFmtId="2" fontId="7" fillId="2" borderId="3" xfId="0" applyNumberFormat="1" applyFont="1" applyFill="1" applyBorder="1" applyAlignment="1" applyProtection="1">
      <alignment horizontal="center" vertical="center"/>
      <protection locked="0" hidden="1"/>
    </xf>
    <xf numFmtId="2" fontId="7" fillId="2" borderId="11" xfId="0" applyNumberFormat="1" applyFont="1" applyFill="1" applyBorder="1" applyAlignment="1" applyProtection="1">
      <alignment horizontal="center" vertical="center"/>
      <protection locked="0" hidden="1"/>
    </xf>
    <xf numFmtId="2" fontId="7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7" fillId="2" borderId="3" xfId="0" applyFont="1" applyFill="1" applyBorder="1" applyAlignment="1" applyProtection="1">
      <alignment horizontal="center" vertical="center"/>
      <protection locked="0" hidden="1"/>
    </xf>
    <xf numFmtId="1" fontId="10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7" fillId="2" borderId="11" xfId="0" applyFont="1" applyFill="1" applyBorder="1" applyAlignment="1" applyProtection="1">
      <alignment horizontal="center" vertical="center"/>
      <protection locked="0"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1" fontId="10" fillId="3" borderId="11" xfId="0" applyNumberFormat="1" applyFont="1" applyFill="1" applyBorder="1" applyAlignment="1" applyProtection="1">
      <alignment horizontal="center" vertical="center"/>
      <protection hidden="1"/>
    </xf>
    <xf numFmtId="164" fontId="7" fillId="3" borderId="11" xfId="0" applyNumberFormat="1" applyFont="1" applyFill="1" applyBorder="1" applyAlignment="1" applyProtection="1">
      <alignment horizontal="center" vertical="center"/>
      <protection hidden="1"/>
    </xf>
    <xf numFmtId="1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1" fontId="7" fillId="2" borderId="10" xfId="0" applyNumberFormat="1" applyFont="1" applyFill="1" applyBorder="1" applyAlignment="1" applyProtection="1">
      <alignment horizontal="center" vertical="center"/>
      <protection locked="0" hidden="1"/>
    </xf>
    <xf numFmtId="166" fontId="7" fillId="3" borderId="14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1" fontId="7" fillId="3" borderId="1" xfId="0" applyNumberFormat="1" applyFont="1" applyFill="1" applyBorder="1" applyAlignment="1" applyProtection="1">
      <alignment horizontal="center" vertical="center"/>
      <protection hidden="1"/>
    </xf>
    <xf numFmtId="1" fontId="7" fillId="3" borderId="2" xfId="0" applyNumberFormat="1" applyFont="1" applyFill="1" applyBorder="1" applyAlignment="1" applyProtection="1">
      <alignment horizontal="center" vertical="center"/>
      <protection hidden="1"/>
    </xf>
    <xf numFmtId="1" fontId="7" fillId="2" borderId="2" xfId="0" applyNumberFormat="1" applyFont="1" applyFill="1" applyBorder="1" applyAlignment="1" applyProtection="1">
      <alignment horizontal="center" vertical="center"/>
      <protection locked="0" hidden="1"/>
    </xf>
    <xf numFmtId="2" fontId="7" fillId="2" borderId="5" xfId="0" applyNumberFormat="1" applyFont="1" applyFill="1" applyBorder="1" applyAlignment="1" applyProtection="1">
      <alignment horizontal="center" vertical="center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 hidden="1"/>
    </xf>
    <xf numFmtId="164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167" fontId="7" fillId="3" borderId="2" xfId="0" applyNumberFormat="1" applyFont="1" applyFill="1" applyBorder="1" applyAlignment="1" applyProtection="1">
      <alignment horizontal="center" vertical="center"/>
      <protection hidden="1"/>
    </xf>
    <xf numFmtId="167" fontId="7" fillId="3" borderId="5" xfId="0" applyNumberFormat="1" applyFont="1" applyFill="1" applyBorder="1" applyAlignment="1" applyProtection="1">
      <alignment horizontal="center" vertical="center"/>
      <protection hidden="1"/>
    </xf>
    <xf numFmtId="168" fontId="10" fillId="3" borderId="2" xfId="2" applyNumberFormat="1" applyFont="1" applyFill="1" applyBorder="1" applyAlignment="1" applyProtection="1">
      <alignment horizontal="left" vertical="center"/>
      <protection hidden="1"/>
    </xf>
    <xf numFmtId="168" fontId="10" fillId="3" borderId="5" xfId="2" applyNumberFormat="1" applyFont="1" applyFill="1" applyBorder="1" applyAlignment="1" applyProtection="1">
      <alignment horizontal="left" vertical="center"/>
      <protection hidden="1"/>
    </xf>
    <xf numFmtId="164" fontId="10" fillId="3" borderId="15" xfId="0" applyNumberFormat="1" applyFont="1" applyFill="1" applyBorder="1" applyAlignment="1" applyProtection="1">
      <alignment horizontal="center" vertical="center"/>
      <protection hidden="1"/>
    </xf>
    <xf numFmtId="2" fontId="10" fillId="2" borderId="11" xfId="0" applyNumberFormat="1" applyFont="1" applyFill="1" applyBorder="1" applyAlignment="1" applyProtection="1">
      <alignment horizontal="center"/>
      <protection locked="0" hidden="1"/>
    </xf>
    <xf numFmtId="164" fontId="10" fillId="3" borderId="11" xfId="0" applyNumberFormat="1" applyFont="1" applyFill="1" applyBorder="1" applyAlignment="1" applyProtection="1">
      <alignment horizontal="center"/>
      <protection hidden="1"/>
    </xf>
    <xf numFmtId="164" fontId="7" fillId="2" borderId="11" xfId="0" applyNumberFormat="1" applyFont="1" applyFill="1" applyBorder="1" applyAlignment="1" applyProtection="1">
      <alignment horizontal="center"/>
      <protection locked="0" hidden="1"/>
    </xf>
    <xf numFmtId="2" fontId="7" fillId="3" borderId="11" xfId="0" applyNumberFormat="1" applyFont="1" applyFill="1" applyBorder="1" applyAlignment="1" applyProtection="1">
      <alignment horizontal="center" vertical="center"/>
      <protection hidden="1"/>
    </xf>
    <xf numFmtId="2" fontId="7" fillId="3" borderId="14" xfId="0" applyNumberFormat="1" applyFont="1" applyFill="1" applyBorder="1" applyAlignment="1" applyProtection="1">
      <alignment horizontal="center" vertical="center"/>
      <protection hidden="1"/>
    </xf>
    <xf numFmtId="1" fontId="10" fillId="2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Border="1" applyProtection="1">
      <protection hidden="1"/>
    </xf>
    <xf numFmtId="2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164" fontId="7" fillId="0" borderId="5" xfId="0" applyNumberFormat="1" applyFont="1" applyFill="1" applyBorder="1" applyAlignment="1" applyProtection="1">
      <alignment horizontal="center"/>
      <protection hidden="1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155122</xdr:colOff>
      <xdr:row>0</xdr:row>
      <xdr:rowOff>375558</xdr:rowOff>
    </xdr:from>
    <xdr:to>
      <xdr:col>15</xdr:col>
      <xdr:colOff>810193</xdr:colOff>
      <xdr:row>2</xdr:row>
      <xdr:rowOff>40369</xdr:rowOff>
    </xdr:to>
    <xdr:sp macro="" textlink="">
      <xdr:nvSpPr>
        <xdr:cNvPr id="35" name="CasellaDiTesto 34"/>
        <xdr:cNvSpPr txBox="1"/>
      </xdr:nvSpPr>
      <xdr:spPr>
        <a:xfrm>
          <a:off x="16195222" y="375558"/>
          <a:ext cx="2902971" cy="6935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3600"/>
            <a:t>Faq.2017.2</a:t>
          </a:r>
        </a:p>
      </xdr:txBody>
    </xdr:sp>
    <xdr:clientData/>
  </xdr:twoCellAnchor>
  <xdr:twoCellAnchor editAs="oneCell">
    <xdr:from>
      <xdr:col>8</xdr:col>
      <xdr:colOff>571500</xdr:colOff>
      <xdr:row>28</xdr:row>
      <xdr:rowOff>146956</xdr:rowOff>
    </xdr:from>
    <xdr:to>
      <xdr:col>10</xdr:col>
      <xdr:colOff>756557</xdr:colOff>
      <xdr:row>36</xdr:row>
      <xdr:rowOff>243567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11615056"/>
          <a:ext cx="2680607" cy="314461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95250</xdr:colOff>
      <xdr:row>47</xdr:row>
      <xdr:rowOff>323850</xdr:rowOff>
    </xdr:from>
    <xdr:to>
      <xdr:col>13</xdr:col>
      <xdr:colOff>1123950</xdr:colOff>
      <xdr:row>54</xdr:row>
      <xdr:rowOff>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54250" y="19030950"/>
          <a:ext cx="2647950" cy="2343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152400</xdr:colOff>
      <xdr:row>16</xdr:row>
      <xdr:rowOff>342900</xdr:rowOff>
    </xdr:from>
    <xdr:to>
      <xdr:col>10</xdr:col>
      <xdr:colOff>676275</xdr:colOff>
      <xdr:row>28</xdr:row>
      <xdr:rowOff>190500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7239000"/>
          <a:ext cx="4143375" cy="4419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14</xdr:col>
      <xdr:colOff>704850</xdr:colOff>
      <xdr:row>52</xdr:row>
      <xdr:rowOff>342900</xdr:rowOff>
    </xdr:from>
    <xdr:to>
      <xdr:col>15</xdr:col>
      <xdr:colOff>304800</xdr:colOff>
      <xdr:row>54</xdr:row>
      <xdr:rowOff>228600</xdr:rowOff>
    </xdr:to>
    <xdr:sp macro="" textlink="">
      <xdr:nvSpPr>
        <xdr:cNvPr id="7" name="Freccia in giù 6"/>
        <xdr:cNvSpPr/>
      </xdr:nvSpPr>
      <xdr:spPr>
        <a:xfrm>
          <a:off x="18021300" y="20955000"/>
          <a:ext cx="571500" cy="647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7</xdr:col>
      <xdr:colOff>114300</xdr:colOff>
      <xdr:row>5</xdr:row>
      <xdr:rowOff>0</xdr:rowOff>
    </xdr:from>
    <xdr:to>
      <xdr:col>14</xdr:col>
      <xdr:colOff>1409700</xdr:colOff>
      <xdr:row>13</xdr:row>
      <xdr:rowOff>76200</xdr:rowOff>
    </xdr:to>
    <xdr:pic>
      <xdr:nvPicPr>
        <xdr:cNvPr id="8" name="Immagine 7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44050" y="2571750"/>
          <a:ext cx="10287000" cy="325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1352550</xdr:colOff>
      <xdr:row>23</xdr:row>
      <xdr:rowOff>114300</xdr:rowOff>
    </xdr:from>
    <xdr:to>
      <xdr:col>11</xdr:col>
      <xdr:colOff>1238250</xdr:colOff>
      <xdr:row>23</xdr:row>
      <xdr:rowOff>285750</xdr:rowOff>
    </xdr:to>
    <xdr:sp macro="" textlink="">
      <xdr:nvSpPr>
        <xdr:cNvPr id="10" name="Freccia in giù 9"/>
        <xdr:cNvSpPr/>
      </xdr:nvSpPr>
      <xdr:spPr>
        <a:xfrm>
          <a:off x="9896475" y="11906250"/>
          <a:ext cx="1285875" cy="1714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12</xdr:col>
      <xdr:colOff>438150</xdr:colOff>
      <xdr:row>29</xdr:row>
      <xdr:rowOff>342900</xdr:rowOff>
    </xdr:from>
    <xdr:to>
      <xdr:col>14</xdr:col>
      <xdr:colOff>0</xdr:colOff>
      <xdr:row>37</xdr:row>
      <xdr:rowOff>57150</xdr:rowOff>
    </xdr:to>
    <xdr:pic>
      <xdr:nvPicPr>
        <xdr:cNvPr id="11" name="Immagine 10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63900" y="12192000"/>
          <a:ext cx="2438400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1.jpe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0"/>
  <sheetViews>
    <sheetView tabSelected="1" view="pageLayout" topLeftCell="C31" zoomScale="70" zoomScaleNormal="40" zoomScalePageLayoutView="70" workbookViewId="0">
      <selection activeCell="E82" sqref="E82"/>
    </sheetView>
  </sheetViews>
  <sheetFormatPr defaultColWidth="15.5703125" defaultRowHeight="45" customHeight="1"/>
  <cols>
    <col min="1" max="1" width="8.140625" style="2" customWidth="1"/>
    <col min="2" max="2" width="7.28515625" style="2" customWidth="1"/>
    <col min="3" max="3" width="52.28515625" style="2" customWidth="1"/>
    <col min="4" max="4" width="16.28515625" style="2" customWidth="1"/>
    <col min="5" max="5" width="20.42578125" style="2" customWidth="1"/>
    <col min="6" max="6" width="14.42578125" style="2" customWidth="1"/>
    <col min="7" max="7" width="13.28515625" style="2" customWidth="1"/>
    <col min="8" max="8" width="15.7109375" style="2" customWidth="1"/>
    <col min="9" max="9" width="18" style="2" customWidth="1"/>
    <col min="10" max="10" width="17.140625" style="2" customWidth="1"/>
    <col min="11" max="11" width="15.7109375" style="2" customWidth="1"/>
    <col min="12" max="12" width="18.85546875" style="2" customWidth="1"/>
    <col min="13" max="13" width="22.5703125" style="2" customWidth="1"/>
    <col min="14" max="14" width="17.85546875" style="2" customWidth="1"/>
    <col min="15" max="15" width="25.5703125" style="2" customWidth="1"/>
    <col min="16" max="16" width="11.85546875" style="2" customWidth="1"/>
    <col min="17" max="17" width="12.140625" style="2" customWidth="1"/>
    <col min="18" max="18" width="15.7109375" style="2" bestFit="1" customWidth="1"/>
    <col min="19" max="16384" width="15.5703125" style="2"/>
  </cols>
  <sheetData>
    <row r="1" spans="1:22" s="1" customFormat="1" ht="39.950000000000003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22" s="1" customFormat="1" ht="39.950000000000003" customHeight="1">
      <c r="A2"/>
      <c r="B2"/>
      <c r="C2"/>
      <c r="D2"/>
      <c r="E2" s="268" t="s">
        <v>1</v>
      </c>
      <c r="F2" s="269"/>
      <c r="G2" s="269"/>
      <c r="H2" s="269"/>
      <c r="I2" s="269"/>
      <c r="J2" s="269"/>
      <c r="K2" s="269"/>
      <c r="L2" s="269"/>
      <c r="M2" s="269"/>
    </row>
    <row r="3" spans="1:22" s="1" customFormat="1" ht="39.950000000000003" customHeight="1">
      <c r="A3"/>
      <c r="B3"/>
      <c r="C3"/>
      <c r="D3"/>
      <c r="E3" s="270" t="s">
        <v>97</v>
      </c>
      <c r="F3" s="271"/>
      <c r="G3" s="271"/>
      <c r="H3" s="271"/>
      <c r="I3" s="271"/>
      <c r="J3" s="271"/>
      <c r="K3" s="271"/>
      <c r="L3" s="271"/>
      <c r="M3" s="271"/>
    </row>
    <row r="4" spans="1:22" s="1" customFormat="1" ht="39.950000000000003" customHeight="1">
      <c r="A4"/>
      <c r="B4"/>
      <c r="C4"/>
      <c r="D4"/>
      <c r="E4" s="261" t="s">
        <v>98</v>
      </c>
      <c r="F4" s="262"/>
      <c r="G4" s="262"/>
      <c r="H4" s="262"/>
      <c r="I4" s="262"/>
      <c r="J4" s="262"/>
      <c r="K4" s="262"/>
      <c r="L4" s="262"/>
      <c r="M4" s="262"/>
    </row>
    <row r="5" spans="1:22" s="1" customFormat="1" ht="39.950000000000003" customHeight="1">
      <c r="A5"/>
      <c r="B5" s="26"/>
      <c r="C5" s="264" t="s">
        <v>5</v>
      </c>
      <c r="D5" s="265"/>
      <c r="E5" s="266"/>
      <c r="F5" s="104"/>
      <c r="G5" s="105"/>
      <c r="H5" s="232"/>
      <c r="I5" s="232"/>
      <c r="J5" s="232"/>
      <c r="K5" s="232"/>
      <c r="L5" s="232"/>
      <c r="M5" s="232"/>
      <c r="N5" s="233"/>
      <c r="O5" s="233"/>
    </row>
    <row r="6" spans="1:22" ht="39.950000000000003" customHeight="1">
      <c r="A6"/>
      <c r="B6" s="35"/>
      <c r="C6" s="140" t="s">
        <v>18</v>
      </c>
      <c r="D6" s="141" t="s">
        <v>7</v>
      </c>
      <c r="E6" s="272">
        <v>12000</v>
      </c>
      <c r="G6" s="107"/>
      <c r="H6" s="234"/>
      <c r="I6" s="234"/>
      <c r="J6" s="234"/>
      <c r="K6" s="234"/>
      <c r="L6" s="234"/>
      <c r="M6" s="234"/>
      <c r="N6" s="234"/>
      <c r="O6" s="234"/>
      <c r="R6" s="5"/>
      <c r="S6" s="5"/>
      <c r="T6" s="5"/>
      <c r="U6" s="5"/>
      <c r="V6" s="5"/>
    </row>
    <row r="7" spans="1:22" ht="30" customHeight="1">
      <c r="A7" s="36"/>
      <c r="B7" s="37"/>
      <c r="C7" s="93" t="s">
        <v>8</v>
      </c>
      <c r="D7" s="114" t="s">
        <v>9</v>
      </c>
      <c r="E7" s="273">
        <v>10</v>
      </c>
      <c r="F7" s="109"/>
      <c r="G7" s="65"/>
      <c r="H7" s="234"/>
      <c r="I7" s="234"/>
      <c r="J7" s="234"/>
      <c r="K7" s="234"/>
      <c r="L7" s="234"/>
      <c r="M7" s="234"/>
      <c r="N7" s="234"/>
      <c r="O7" s="234"/>
      <c r="R7" s="5"/>
      <c r="S7" s="5"/>
      <c r="T7" s="5"/>
      <c r="U7" s="5"/>
      <c r="V7" s="5"/>
    </row>
    <row r="8" spans="1:22" ht="30" customHeight="1">
      <c r="A8" s="36"/>
      <c r="B8" s="37"/>
      <c r="C8" s="92" t="s">
        <v>10</v>
      </c>
      <c r="D8" s="94" t="s">
        <v>11</v>
      </c>
      <c r="E8" s="110">
        <f>E6/E7</f>
        <v>1200</v>
      </c>
      <c r="F8" s="65"/>
      <c r="G8" s="65"/>
      <c r="H8" s="234"/>
      <c r="I8" s="234"/>
      <c r="J8" s="234"/>
      <c r="K8" s="234"/>
      <c r="L8" s="234"/>
      <c r="M8" s="234"/>
      <c r="N8" s="234"/>
      <c r="O8" s="234"/>
      <c r="R8" s="5"/>
      <c r="S8" s="5"/>
      <c r="T8" s="5"/>
      <c r="U8" s="5"/>
      <c r="V8" s="5"/>
    </row>
    <row r="9" spans="1:22" ht="30" customHeight="1">
      <c r="A9" s="36"/>
      <c r="B9" s="37"/>
      <c r="C9" s="92" t="s">
        <v>12</v>
      </c>
      <c r="D9" s="94" t="s">
        <v>13</v>
      </c>
      <c r="E9" s="110">
        <f>(E8/(2.826*1.1))^0.5</f>
        <v>19.647540908034014</v>
      </c>
      <c r="F9" s="275">
        <v>20</v>
      </c>
      <c r="G9" s="65"/>
      <c r="H9" s="234"/>
      <c r="I9" s="234"/>
      <c r="J9" s="234"/>
      <c r="K9" s="234"/>
      <c r="L9" s="234"/>
      <c r="M9" s="235"/>
      <c r="N9" s="234"/>
      <c r="O9" s="234"/>
      <c r="R9" s="5"/>
      <c r="S9" s="5"/>
      <c r="T9" s="5"/>
      <c r="U9" s="5"/>
      <c r="V9" s="5"/>
    </row>
    <row r="10" spans="1:22" ht="30" customHeight="1">
      <c r="A10" s="36"/>
      <c r="B10" s="37"/>
      <c r="C10" s="92" t="s">
        <v>14</v>
      </c>
      <c r="D10" s="112" t="s">
        <v>15</v>
      </c>
      <c r="E10" s="274">
        <v>17</v>
      </c>
      <c r="F10" s="65"/>
      <c r="G10" s="111"/>
      <c r="H10" s="234"/>
      <c r="I10" s="234"/>
      <c r="J10" s="234"/>
      <c r="K10" s="234"/>
      <c r="L10" s="234"/>
      <c r="M10" s="236"/>
      <c r="N10" s="237"/>
      <c r="O10" s="234"/>
      <c r="R10" s="5"/>
      <c r="S10" s="5"/>
      <c r="T10" s="5"/>
      <c r="U10" s="5"/>
      <c r="V10" s="5"/>
    </row>
    <row r="11" spans="1:22" ht="30" customHeight="1">
      <c r="A11" s="36"/>
      <c r="B11" s="37"/>
      <c r="C11" s="136" t="s">
        <v>16</v>
      </c>
      <c r="D11" s="137" t="s">
        <v>17</v>
      </c>
      <c r="E11" s="152">
        <f>E10*(10.67/(F9/1000)^4.8704)*((E8/(1000*3600))/140)^1.852</f>
        <v>1.3152828703728017</v>
      </c>
      <c r="F11" s="50"/>
      <c r="G11" s="106"/>
      <c r="H11" s="234"/>
      <c r="I11" s="234"/>
      <c r="J11" s="234"/>
      <c r="K11" s="234"/>
      <c r="L11" s="234"/>
      <c r="M11" s="234"/>
      <c r="N11" s="234"/>
      <c r="O11" s="234"/>
      <c r="R11" s="5"/>
      <c r="S11" s="5"/>
      <c r="T11" s="5"/>
      <c r="U11" s="5"/>
      <c r="V11" s="5"/>
    </row>
    <row r="12" spans="1:22" ht="30" customHeight="1">
      <c r="A12" s="36"/>
      <c r="B12" s="37"/>
      <c r="C12" s="96"/>
      <c r="D12" s="50"/>
      <c r="E12" s="138"/>
      <c r="F12" s="113"/>
      <c r="G12" s="111"/>
      <c r="H12" s="238"/>
      <c r="I12" s="39"/>
      <c r="J12" s="39"/>
      <c r="K12" s="239"/>
      <c r="L12" s="234"/>
      <c r="M12" s="234"/>
      <c r="N12" s="234"/>
      <c r="O12" s="237"/>
      <c r="P12" s="5"/>
      <c r="Q12" s="5"/>
      <c r="R12" s="5"/>
      <c r="S12" s="5"/>
      <c r="T12" s="5"/>
      <c r="U12" s="5"/>
      <c r="V12" s="5"/>
    </row>
    <row r="13" spans="1:22" ht="30" customHeight="1">
      <c r="A13" s="36"/>
      <c r="B13" s="37"/>
      <c r="C13" s="139" t="s">
        <v>19</v>
      </c>
      <c r="D13" s="135" t="s">
        <v>7</v>
      </c>
      <c r="E13" s="272">
        <v>12000</v>
      </c>
      <c r="G13" s="111"/>
      <c r="H13" s="234"/>
      <c r="I13" s="39"/>
      <c r="J13" s="39"/>
      <c r="K13" s="239"/>
      <c r="L13" s="39"/>
      <c r="M13" s="234"/>
      <c r="N13" s="240"/>
      <c r="O13" s="240"/>
      <c r="P13" s="17"/>
      <c r="Q13" s="17"/>
      <c r="R13" s="5"/>
      <c r="S13" s="5"/>
      <c r="T13" s="5"/>
      <c r="U13" s="5"/>
      <c r="V13" s="5"/>
    </row>
    <row r="14" spans="1:22" ht="30" customHeight="1">
      <c r="A14" s="36"/>
      <c r="B14" s="37"/>
      <c r="C14" s="93" t="s">
        <v>8</v>
      </c>
      <c r="D14" s="114" t="s">
        <v>9</v>
      </c>
      <c r="E14" s="273">
        <v>10</v>
      </c>
      <c r="F14" s="109"/>
      <c r="G14" s="111"/>
      <c r="H14" s="241"/>
      <c r="I14" s="39"/>
      <c r="J14" s="241"/>
      <c r="K14" s="241"/>
      <c r="L14" s="241"/>
      <c r="M14" s="234"/>
      <c r="N14" s="242"/>
      <c r="O14" s="242"/>
      <c r="P14" s="18"/>
      <c r="Q14" s="18"/>
      <c r="R14" s="5"/>
      <c r="S14" s="5"/>
      <c r="T14" s="5"/>
      <c r="U14" s="5"/>
      <c r="V14" s="5"/>
    </row>
    <row r="15" spans="1:22" ht="30" customHeight="1">
      <c r="A15" s="36"/>
      <c r="B15" s="37"/>
      <c r="C15" s="92" t="s">
        <v>10</v>
      </c>
      <c r="D15" s="94" t="s">
        <v>11</v>
      </c>
      <c r="E15" s="110">
        <f>E13/E14</f>
        <v>1200</v>
      </c>
      <c r="F15" s="65"/>
      <c r="G15" s="99"/>
      <c r="H15" s="40"/>
      <c r="I15" s="39"/>
      <c r="J15" s="40"/>
      <c r="K15" s="40"/>
      <c r="L15" s="263" t="s">
        <v>109</v>
      </c>
      <c r="M15" s="263"/>
      <c r="N15" s="263"/>
      <c r="O15" s="21"/>
      <c r="P15" s="22"/>
      <c r="Q15" s="20"/>
      <c r="R15" s="5"/>
      <c r="S15" s="5"/>
      <c r="T15" s="5"/>
      <c r="U15" s="5"/>
      <c r="V15" s="5"/>
    </row>
    <row r="16" spans="1:22" ht="30" customHeight="1">
      <c r="A16" s="36"/>
      <c r="B16" s="38"/>
      <c r="C16" s="92" t="s">
        <v>12</v>
      </c>
      <c r="D16" s="94" t="s">
        <v>13</v>
      </c>
      <c r="E16" s="110">
        <f>(E15/(2.826*1.1))^0.5</f>
        <v>19.647540908034014</v>
      </c>
      <c r="F16" s="275">
        <v>20</v>
      </c>
      <c r="G16" s="278" t="s">
        <v>80</v>
      </c>
      <c r="H16" s="40"/>
      <c r="I16" s="252" t="s">
        <v>95</v>
      </c>
      <c r="J16" s="252"/>
      <c r="K16" s="40"/>
      <c r="L16" s="256" t="s">
        <v>104</v>
      </c>
      <c r="M16" s="257"/>
      <c r="N16" s="141" t="s">
        <v>107</v>
      </c>
      <c r="O16" s="301">
        <f>(E20*E21/100)*(E24-E14)*1.16/1000</f>
        <v>97.44</v>
      </c>
      <c r="P16" s="25"/>
      <c r="Q16" s="18"/>
      <c r="R16" s="5"/>
      <c r="S16" s="14"/>
      <c r="T16" s="5"/>
      <c r="U16" s="5"/>
      <c r="V16" s="5"/>
    </row>
    <row r="17" spans="1:31" ht="30" customHeight="1">
      <c r="A17" s="36"/>
      <c r="B17" s="38"/>
      <c r="C17" s="92" t="s">
        <v>14</v>
      </c>
      <c r="D17" s="112" t="s">
        <v>15</v>
      </c>
      <c r="E17" s="276">
        <v>17</v>
      </c>
      <c r="F17" s="65"/>
      <c r="G17" s="99"/>
      <c r="H17" s="40"/>
      <c r="I17" s="253" t="s">
        <v>96</v>
      </c>
      <c r="J17" s="253"/>
      <c r="K17" s="40"/>
      <c r="L17" s="254" t="s">
        <v>105</v>
      </c>
      <c r="M17" s="255"/>
      <c r="N17" s="230" t="s">
        <v>106</v>
      </c>
      <c r="O17" s="302">
        <v>3.69</v>
      </c>
      <c r="P17" s="25"/>
      <c r="Q17" s="18"/>
      <c r="R17" s="5"/>
      <c r="S17" s="14"/>
      <c r="T17" s="15"/>
      <c r="U17" s="15"/>
      <c r="V17" s="4"/>
    </row>
    <row r="18" spans="1:31" ht="30" customHeight="1">
      <c r="A18" s="36"/>
      <c r="B18" s="38"/>
      <c r="C18" s="136" t="s">
        <v>6</v>
      </c>
      <c r="D18" s="137" t="s">
        <v>17</v>
      </c>
      <c r="E18" s="277">
        <f>E17*(10.67/(F16/1000)^4.8704)*((E15/(1000*3600))/140)^1.852</f>
        <v>1.3152828703728017</v>
      </c>
      <c r="F18" s="50"/>
      <c r="G18" s="99"/>
      <c r="H18" s="40"/>
      <c r="I18" s="39"/>
      <c r="J18" s="40"/>
      <c r="K18" s="40"/>
      <c r="L18" s="258" t="s">
        <v>108</v>
      </c>
      <c r="M18" s="259"/>
      <c r="N18" s="231" t="s">
        <v>34</v>
      </c>
      <c r="O18" s="303">
        <f>O16/O17</f>
        <v>26.40650406504065</v>
      </c>
      <c r="P18" s="25"/>
      <c r="Q18" s="18"/>
      <c r="R18" s="5"/>
      <c r="S18" s="14"/>
      <c r="T18" s="14"/>
      <c r="U18" s="4"/>
      <c r="V18" s="4"/>
    </row>
    <row r="19" spans="1:31" ht="30" customHeight="1">
      <c r="A19" s="36"/>
      <c r="B19" s="38"/>
      <c r="G19" s="50"/>
      <c r="H19" s="40"/>
      <c r="I19" s="39"/>
      <c r="J19" s="40"/>
      <c r="K19" s="40"/>
      <c r="L19" s="227" t="s">
        <v>118</v>
      </c>
      <c r="M19" s="246" t="s">
        <v>119</v>
      </c>
      <c r="N19" s="231" t="s">
        <v>41</v>
      </c>
      <c r="O19" s="304" t="s">
        <v>115</v>
      </c>
      <c r="P19" s="25"/>
      <c r="Q19" s="18"/>
      <c r="R19" s="5"/>
      <c r="S19" s="4"/>
      <c r="T19" s="4"/>
      <c r="U19" s="4"/>
      <c r="V19" s="4"/>
    </row>
    <row r="20" spans="1:31" ht="30" customHeight="1">
      <c r="A20" s="36"/>
      <c r="B20" s="38"/>
      <c r="C20" s="224" t="s">
        <v>21</v>
      </c>
      <c r="D20" s="141" t="s">
        <v>22</v>
      </c>
      <c r="E20" s="279">
        <v>3500</v>
      </c>
      <c r="H20" s="40"/>
      <c r="I20" s="222"/>
      <c r="J20" s="177"/>
      <c r="K20" s="177"/>
      <c r="L20" s="228" t="s">
        <v>124</v>
      </c>
      <c r="M20" s="215"/>
      <c r="N20" s="142" t="s">
        <v>34</v>
      </c>
      <c r="O20" s="280">
        <v>2</v>
      </c>
      <c r="P20" s="25"/>
      <c r="Q20" s="18"/>
      <c r="R20" s="5"/>
      <c r="S20" s="4"/>
      <c r="T20" s="4"/>
      <c r="U20" s="4"/>
      <c r="V20" s="4"/>
    </row>
    <row r="21" spans="1:31" ht="30" customHeight="1">
      <c r="A21" s="36"/>
      <c r="B21" s="96"/>
      <c r="C21" s="204" t="s">
        <v>25</v>
      </c>
      <c r="D21" s="142" t="s">
        <v>20</v>
      </c>
      <c r="E21" s="280">
        <v>60</v>
      </c>
      <c r="F21" s="109"/>
      <c r="H21" s="65"/>
      <c r="I21" s="96"/>
      <c r="J21" s="34"/>
      <c r="K21" s="34"/>
      <c r="L21" s="243" t="s">
        <v>120</v>
      </c>
      <c r="M21" s="5"/>
      <c r="N21" s="142" t="s">
        <v>34</v>
      </c>
      <c r="O21" s="305">
        <f>O18/O20</f>
        <v>13.203252032520325</v>
      </c>
      <c r="P21" s="25"/>
      <c r="Q21" s="18"/>
      <c r="R21" s="5"/>
      <c r="S21" s="4"/>
      <c r="T21" s="4"/>
      <c r="U21" s="4"/>
      <c r="V21" s="4"/>
    </row>
    <row r="22" spans="1:31" ht="30" customHeight="1">
      <c r="A22"/>
      <c r="B22" s="34"/>
      <c r="C22" s="204" t="s">
        <v>26</v>
      </c>
      <c r="D22" s="142" t="s">
        <v>22</v>
      </c>
      <c r="E22" s="281">
        <f>E20*(100-E21)/100</f>
        <v>1400</v>
      </c>
      <c r="F22" s="65"/>
      <c r="H22" s="65"/>
      <c r="I22" s="34"/>
      <c r="J22" s="34"/>
      <c r="K22" s="34"/>
      <c r="L22" s="243" t="s">
        <v>123</v>
      </c>
      <c r="M22" s="5"/>
      <c r="N22" s="142" t="s">
        <v>34</v>
      </c>
      <c r="O22" s="280">
        <v>2.52</v>
      </c>
      <c r="P22" s="25"/>
      <c r="Q22" s="18"/>
      <c r="R22" s="5"/>
      <c r="S22" s="4"/>
      <c r="T22" s="4"/>
      <c r="U22" s="4"/>
      <c r="V22" s="4"/>
    </row>
    <row r="23" spans="1:31" ht="30" customHeight="1">
      <c r="A23"/>
      <c r="B23" s="65"/>
      <c r="C23" s="204" t="s">
        <v>27</v>
      </c>
      <c r="D23" s="142" t="s">
        <v>24</v>
      </c>
      <c r="E23" s="280">
        <v>10</v>
      </c>
      <c r="H23" s="34"/>
      <c r="I23" s="34"/>
      <c r="J23" s="34"/>
      <c r="K23" s="34"/>
      <c r="L23" s="229" t="s">
        <v>121</v>
      </c>
      <c r="M23" s="244"/>
      <c r="N23" s="245" t="s">
        <v>122</v>
      </c>
      <c r="O23" s="306">
        <f>O21/O22</f>
        <v>5.239385727190605</v>
      </c>
      <c r="P23" s="307">
        <v>6</v>
      </c>
      <c r="Q23" s="18"/>
      <c r="R23" s="5"/>
      <c r="S23" s="5"/>
      <c r="T23" s="5"/>
      <c r="U23" s="5"/>
      <c r="V23" s="5"/>
      <c r="Z23" s="5"/>
      <c r="AA23" s="5"/>
      <c r="AB23" s="5"/>
      <c r="AC23" s="5"/>
      <c r="AD23" s="5"/>
      <c r="AE23" s="5"/>
    </row>
    <row r="24" spans="1:31" ht="30" customHeight="1">
      <c r="A24"/>
      <c r="B24" s="65"/>
      <c r="C24" s="204" t="s">
        <v>103</v>
      </c>
      <c r="D24" s="208" t="s">
        <v>23</v>
      </c>
      <c r="E24" s="280">
        <v>50</v>
      </c>
      <c r="H24" s="34"/>
      <c r="I24" s="34"/>
      <c r="J24" s="81"/>
      <c r="K24" s="81"/>
      <c r="L24" s="5"/>
      <c r="M24" s="5"/>
      <c r="N24" s="5"/>
      <c r="O24" s="5"/>
      <c r="P24" s="25"/>
      <c r="Q24" s="18"/>
      <c r="R24" s="10"/>
      <c r="S24" s="5"/>
      <c r="T24" s="5"/>
      <c r="U24" s="5"/>
      <c r="V24" s="5"/>
      <c r="Z24" s="5"/>
      <c r="AA24" s="5"/>
      <c r="AB24" s="5"/>
      <c r="AC24" s="5"/>
      <c r="AD24" s="5"/>
      <c r="AE24" s="5"/>
    </row>
    <row r="25" spans="1:31" ht="30" customHeight="1">
      <c r="A25"/>
      <c r="B25" s="65"/>
      <c r="C25" s="204" t="s">
        <v>10</v>
      </c>
      <c r="D25" s="208" t="s">
        <v>3</v>
      </c>
      <c r="E25" s="281">
        <f>E22/E23</f>
        <v>140</v>
      </c>
      <c r="H25" s="34"/>
      <c r="I25" s="34"/>
      <c r="J25" s="81"/>
      <c r="K25" s="81"/>
      <c r="L25" s="308" t="s">
        <v>109</v>
      </c>
      <c r="M25" s="309"/>
      <c r="N25" s="310" t="s">
        <v>117</v>
      </c>
      <c r="O25" s="311" t="s">
        <v>110</v>
      </c>
      <c r="P25" s="25"/>
      <c r="Q25" s="18"/>
      <c r="R25" s="16"/>
      <c r="S25" s="7"/>
      <c r="T25" s="7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30" customHeight="1">
      <c r="A26"/>
      <c r="B26" s="65"/>
      <c r="C26" s="204" t="s">
        <v>86</v>
      </c>
      <c r="D26" s="142" t="s">
        <v>7</v>
      </c>
      <c r="E26" s="282">
        <f>(E22/E23)*E14</f>
        <v>1400</v>
      </c>
      <c r="F26" s="115"/>
      <c r="H26" s="30"/>
      <c r="I26" s="223"/>
      <c r="J26" s="223"/>
      <c r="K26" s="223"/>
      <c r="L26" s="312" t="s">
        <v>111</v>
      </c>
      <c r="M26" s="313" t="s">
        <v>112</v>
      </c>
      <c r="N26" s="314">
        <f>2.08*1.037</f>
        <v>2.1569599999999998</v>
      </c>
      <c r="O26" s="315">
        <v>1.71</v>
      </c>
      <c r="Q26" s="18"/>
      <c r="R26" s="11"/>
      <c r="S26" s="8"/>
      <c r="T26" s="8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30" customHeight="1">
      <c r="A27" s="26"/>
      <c r="B27" s="65"/>
      <c r="C27" s="225" t="s">
        <v>12</v>
      </c>
      <c r="D27" s="94" t="s">
        <v>13</v>
      </c>
      <c r="E27" s="283">
        <f>(E25/(2.826*1.1))^0.5</f>
        <v>6.7109128118933894</v>
      </c>
      <c r="F27" s="285">
        <v>16</v>
      </c>
      <c r="G27" s="278" t="s">
        <v>82</v>
      </c>
      <c r="H27" s="31"/>
      <c r="I27" s="31"/>
      <c r="J27" s="31"/>
      <c r="K27" s="31"/>
      <c r="L27" s="312" t="s">
        <v>113</v>
      </c>
      <c r="M27" s="313" t="s">
        <v>114</v>
      </c>
      <c r="N27" s="314">
        <f xml:space="preserve"> 1.99*1.092</f>
        <v>2.1730800000000001</v>
      </c>
      <c r="O27" s="315">
        <v>1.9</v>
      </c>
      <c r="P27" s="25"/>
      <c r="Q27" s="18"/>
      <c r="R27" s="10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26"/>
      <c r="B28" s="50"/>
      <c r="C28" s="204" t="s">
        <v>28</v>
      </c>
      <c r="D28" s="142" t="s">
        <v>2</v>
      </c>
      <c r="E28" s="284">
        <v>4</v>
      </c>
      <c r="H28" s="56"/>
      <c r="I28" s="31"/>
      <c r="J28" s="31"/>
      <c r="K28" s="65"/>
      <c r="L28" s="316" t="s">
        <v>115</v>
      </c>
      <c r="M28" s="317" t="s">
        <v>116</v>
      </c>
      <c r="N28" s="318">
        <f>2.1*1.2</f>
        <v>2.52</v>
      </c>
      <c r="O28" s="319">
        <v>2</v>
      </c>
      <c r="P28" s="25"/>
      <c r="Q28" s="18"/>
      <c r="R28" s="10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26"/>
      <c r="B29" s="97"/>
      <c r="C29" s="226" t="s">
        <v>6</v>
      </c>
      <c r="D29" s="137" t="s">
        <v>17</v>
      </c>
      <c r="E29" s="286">
        <f>E28*(10.67/(F27/1000)^4.8704)*(((E22/E23)/(1000*3600))/140)^1.852</f>
        <v>1.7163514284532552E-2</v>
      </c>
      <c r="H29" s="82"/>
      <c r="I29" s="41"/>
      <c r="J29" s="41"/>
      <c r="K29" s="34"/>
      <c r="L29" s="34"/>
      <c r="M29" s="34"/>
      <c r="N29" s="34"/>
      <c r="O29" s="24"/>
      <c r="P29" s="25"/>
      <c r="Q29" s="18"/>
      <c r="R29" s="13"/>
      <c r="S29" s="6"/>
      <c r="T29" s="6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26"/>
      <c r="B30" s="65"/>
      <c r="C30" s="108" t="s">
        <v>29</v>
      </c>
      <c r="D30" s="56"/>
      <c r="E30" s="143"/>
      <c r="H30" s="32"/>
      <c r="I30" s="76"/>
      <c r="J30" s="83"/>
      <c r="K30" s="72"/>
      <c r="L30" s="84"/>
      <c r="M30" s="74"/>
      <c r="N30" s="84"/>
      <c r="O30" s="24"/>
      <c r="P30" s="25"/>
      <c r="Q30" s="18"/>
      <c r="R30" s="10"/>
      <c r="S30" s="6"/>
      <c r="T30" s="6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26"/>
      <c r="B31" s="78"/>
      <c r="C31" s="145" t="s">
        <v>10</v>
      </c>
      <c r="D31" s="146" t="s">
        <v>3</v>
      </c>
      <c r="E31" s="287">
        <f>E25</f>
        <v>140</v>
      </c>
      <c r="H31" s="32"/>
      <c r="I31" s="76"/>
      <c r="J31" s="83"/>
      <c r="K31" s="85"/>
      <c r="L31" s="84"/>
      <c r="M31" s="75"/>
      <c r="N31" s="84"/>
      <c r="O31" s="24"/>
      <c r="P31" s="25"/>
      <c r="Q31" s="18"/>
      <c r="R31" s="10"/>
      <c r="S31" s="5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26"/>
      <c r="B32" s="78"/>
      <c r="C32" s="147" t="s">
        <v>30</v>
      </c>
      <c r="D32" s="118" t="s">
        <v>42</v>
      </c>
      <c r="E32" s="191">
        <f>(E20/E23)*(55-10)</f>
        <v>15750</v>
      </c>
      <c r="F32" s="103"/>
      <c r="G32" s="5"/>
      <c r="H32" s="31"/>
      <c r="M32" s="74"/>
      <c r="N32" s="84"/>
      <c r="O32" s="247" t="s">
        <v>125</v>
      </c>
      <c r="P32" s="25"/>
      <c r="Q32" s="18"/>
      <c r="R32" s="13"/>
      <c r="S32" s="6"/>
      <c r="T32" s="6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26"/>
      <c r="B33" s="78"/>
      <c r="C33" s="119" t="s">
        <v>31</v>
      </c>
      <c r="D33" s="120" t="s">
        <v>23</v>
      </c>
      <c r="E33" s="148">
        <v>65</v>
      </c>
      <c r="G33" s="111"/>
      <c r="H33" s="56"/>
      <c r="M33" s="67"/>
      <c r="N33" s="56"/>
      <c r="O33" s="24"/>
      <c r="P33" s="25"/>
      <c r="Q33" s="18"/>
      <c r="R33" s="10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30"/>
      <c r="B34" s="95"/>
      <c r="C34" s="119" t="s">
        <v>32</v>
      </c>
      <c r="D34" s="120" t="s">
        <v>23</v>
      </c>
      <c r="E34" s="148">
        <v>55</v>
      </c>
      <c r="G34" s="133"/>
      <c r="H34" s="30"/>
      <c r="M34" s="67"/>
      <c r="N34" s="30"/>
      <c r="O34" s="24"/>
      <c r="P34" s="25"/>
      <c r="Q34" s="18"/>
      <c r="R34" s="10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30"/>
      <c r="B35" s="56"/>
      <c r="C35" s="119" t="s">
        <v>44</v>
      </c>
      <c r="D35" s="120" t="s">
        <v>23</v>
      </c>
      <c r="E35" s="148">
        <v>50</v>
      </c>
      <c r="G35" s="134"/>
      <c r="H35" s="31"/>
      <c r="M35" s="67"/>
      <c r="N35" s="76"/>
      <c r="O35" s="24"/>
      <c r="P35" s="25"/>
      <c r="Q35" s="18"/>
      <c r="R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30"/>
      <c r="B36" s="98"/>
      <c r="C36" s="121" t="s">
        <v>43</v>
      </c>
      <c r="D36" s="122" t="s">
        <v>23</v>
      </c>
      <c r="E36" s="149">
        <v>10</v>
      </c>
      <c r="G36" s="134"/>
      <c r="H36" s="31"/>
      <c r="I36" s="49"/>
      <c r="J36" s="103"/>
      <c r="K36" s="144"/>
      <c r="L36" s="103"/>
      <c r="M36" s="67"/>
      <c r="N36" s="34"/>
      <c r="O36" s="24"/>
      <c r="P36" s="25"/>
      <c r="Q36" s="18"/>
      <c r="R36" s="10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30"/>
      <c r="B37" s="77"/>
      <c r="C37" s="26"/>
      <c r="D37" s="26"/>
      <c r="E37" s="131">
        <f>((E33-E34)-(E35-E36))/LN((E33-E34)/(E35-E36))</f>
        <v>21.64042561333445</v>
      </c>
      <c r="G37" s="134"/>
      <c r="H37" s="41"/>
      <c r="I37" s="65"/>
      <c r="J37" s="49"/>
      <c r="K37" s="103"/>
      <c r="L37" s="103"/>
      <c r="M37" s="103"/>
      <c r="N37" s="76"/>
      <c r="O37" s="24"/>
      <c r="P37" s="25"/>
      <c r="Q37" s="18"/>
      <c r="R37" s="16"/>
      <c r="S37" s="4"/>
      <c r="T37" s="5"/>
      <c r="U37" s="5"/>
      <c r="V37" s="5"/>
    </row>
    <row r="38" spans="1:31" ht="30" customHeight="1">
      <c r="A38" s="30"/>
      <c r="B38" s="77"/>
      <c r="C38" s="162" t="s">
        <v>33</v>
      </c>
      <c r="D38" s="130" t="s">
        <v>34</v>
      </c>
      <c r="E38" s="154">
        <f>(E32/(1500*E37))</f>
        <v>0.48520302639196172</v>
      </c>
      <c r="F38" s="124"/>
      <c r="G38" s="116"/>
      <c r="H38" s="32"/>
      <c r="I38" s="64"/>
      <c r="J38" s="49"/>
      <c r="K38" s="155"/>
      <c r="L38" s="155"/>
      <c r="M38" s="155"/>
      <c r="N38" s="23"/>
      <c r="O38" s="24"/>
      <c r="P38" s="25"/>
      <c r="Q38" s="18"/>
      <c r="R38" s="11"/>
      <c r="S38" s="5"/>
      <c r="T38" s="5"/>
      <c r="U38" s="5"/>
      <c r="V38" s="5"/>
    </row>
    <row r="39" spans="1:31" ht="30" customHeight="1">
      <c r="A39" s="30"/>
      <c r="B39" s="77"/>
      <c r="F39" s="124"/>
      <c r="I39" s="267" t="s">
        <v>50</v>
      </c>
      <c r="J39" s="267"/>
      <c r="K39" s="267"/>
      <c r="L39" s="267"/>
      <c r="M39" s="73"/>
      <c r="N39" s="23"/>
      <c r="O39" s="24"/>
      <c r="P39" s="25"/>
      <c r="Q39" s="18"/>
      <c r="R39" s="10"/>
      <c r="S39" s="5"/>
      <c r="T39" s="5"/>
      <c r="U39" s="5"/>
      <c r="V39" s="5"/>
    </row>
    <row r="40" spans="1:31" ht="30" customHeight="1">
      <c r="A40" s="30"/>
      <c r="B40" s="56"/>
      <c r="C40" s="125" t="s">
        <v>35</v>
      </c>
      <c r="D40" s="153" t="s">
        <v>41</v>
      </c>
      <c r="E40" s="288" t="s">
        <v>49</v>
      </c>
      <c r="F40" s="132"/>
      <c r="H40" s="210" t="s">
        <v>51</v>
      </c>
      <c r="I40" s="158" t="s">
        <v>45</v>
      </c>
      <c r="J40" s="159" t="s">
        <v>46</v>
      </c>
      <c r="K40" s="159" t="s">
        <v>47</v>
      </c>
      <c r="L40" s="159" t="s">
        <v>48</v>
      </c>
      <c r="M40" s="72"/>
      <c r="N40" s="31"/>
      <c r="O40" s="24"/>
      <c r="P40" s="25"/>
      <c r="Q40" s="18"/>
      <c r="R40" s="10"/>
      <c r="S40" s="5"/>
      <c r="T40" s="5"/>
      <c r="U40" s="5"/>
      <c r="V40" s="5"/>
    </row>
    <row r="41" spans="1:31" ht="30" customHeight="1">
      <c r="A41" s="30"/>
      <c r="B41" s="56"/>
      <c r="C41" s="129" t="s">
        <v>36</v>
      </c>
      <c r="D41" s="120" t="s">
        <v>37</v>
      </c>
      <c r="E41" s="150">
        <v>0.19</v>
      </c>
      <c r="F41" s="123"/>
      <c r="H41" s="160" t="s">
        <v>4</v>
      </c>
      <c r="I41" s="94">
        <v>106</v>
      </c>
      <c r="J41" s="156">
        <v>124</v>
      </c>
      <c r="K41" s="156">
        <v>77</v>
      </c>
      <c r="L41" s="157">
        <v>80</v>
      </c>
      <c r="M41" s="71"/>
      <c r="N41" s="31"/>
      <c r="O41" s="24"/>
      <c r="P41" s="25"/>
      <c r="Q41" s="18"/>
      <c r="R41" s="13"/>
      <c r="S41" s="5"/>
      <c r="T41" s="5"/>
      <c r="U41" s="5"/>
      <c r="V41" s="5"/>
    </row>
    <row r="42" spans="1:31" ht="30" customHeight="1">
      <c r="A42" s="30"/>
      <c r="B42" s="91"/>
      <c r="C42" s="129"/>
      <c r="D42" s="120" t="s">
        <v>38</v>
      </c>
      <c r="E42" s="150">
        <v>0.08</v>
      </c>
      <c r="H42" s="160" t="s">
        <v>52</v>
      </c>
      <c r="I42" s="199">
        <v>306</v>
      </c>
      <c r="J42" s="118">
        <v>335</v>
      </c>
      <c r="K42" s="118">
        <v>190</v>
      </c>
      <c r="L42" s="120">
        <v>190</v>
      </c>
      <c r="M42" s="72"/>
      <c r="N42" s="23"/>
      <c r="O42" s="24"/>
      <c r="P42" s="25"/>
      <c r="Q42" s="18"/>
      <c r="R42" s="10"/>
      <c r="S42" s="5"/>
      <c r="T42" s="5"/>
      <c r="U42" s="5"/>
      <c r="V42" s="5"/>
    </row>
    <row r="43" spans="1:31" ht="30" customHeight="1">
      <c r="A43" s="30"/>
      <c r="B43" s="91"/>
      <c r="C43" s="126" t="s">
        <v>39</v>
      </c>
      <c r="D43" s="118" t="s">
        <v>34</v>
      </c>
      <c r="E43" s="151">
        <f>E41*E42</f>
        <v>1.52E-2</v>
      </c>
      <c r="H43" s="200" t="s">
        <v>81</v>
      </c>
      <c r="I43" s="200" t="s">
        <v>79</v>
      </c>
      <c r="J43" s="201" t="s">
        <v>79</v>
      </c>
      <c r="K43" s="202" t="s">
        <v>79</v>
      </c>
      <c r="L43" s="320" t="s">
        <v>79</v>
      </c>
      <c r="M43" s="72"/>
      <c r="N43" s="34"/>
      <c r="O43" s="24"/>
      <c r="P43" s="25"/>
      <c r="Q43" s="18"/>
      <c r="R43" s="10"/>
      <c r="S43" s="5"/>
      <c r="T43" s="5"/>
      <c r="U43" s="5"/>
      <c r="V43" s="5"/>
    </row>
    <row r="44" spans="1:31" ht="30" customHeight="1">
      <c r="A44" s="30"/>
      <c r="B44" s="91"/>
      <c r="C44" s="127" t="s">
        <v>40</v>
      </c>
      <c r="D44" s="128" t="s">
        <v>0</v>
      </c>
      <c r="E44" s="152">
        <f>E38/E43</f>
        <v>31.92125173631327</v>
      </c>
      <c r="F44" s="289">
        <v>32</v>
      </c>
      <c r="H44" s="41"/>
      <c r="I44" s="42"/>
      <c r="J44" s="43"/>
      <c r="K44" s="72"/>
      <c r="L44" s="74"/>
      <c r="M44" s="72"/>
      <c r="N44" s="23"/>
      <c r="O44" s="24"/>
      <c r="P44" s="25"/>
      <c r="Q44" s="18"/>
      <c r="R44" s="13"/>
      <c r="S44" s="5"/>
      <c r="T44" s="5"/>
      <c r="U44" s="5"/>
      <c r="V44" s="5"/>
    </row>
    <row r="45" spans="1:31" ht="30" customHeight="1">
      <c r="A45" s="30"/>
      <c r="B45" s="91"/>
      <c r="C45" s="167" t="s">
        <v>55</v>
      </c>
      <c r="D45" s="63"/>
      <c r="E45" s="63"/>
      <c r="F45" s="63"/>
      <c r="G45" s="63"/>
      <c r="H45" s="32"/>
      <c r="I45" s="76"/>
      <c r="J45" s="33"/>
      <c r="N45" s="23"/>
      <c r="O45" s="24"/>
      <c r="P45" s="25"/>
      <c r="Q45" s="18"/>
      <c r="R45" s="10"/>
      <c r="S45" s="5"/>
      <c r="T45" s="5"/>
      <c r="U45" s="5"/>
      <c r="V45" s="5"/>
    </row>
    <row r="46" spans="1:31" ht="30" customHeight="1">
      <c r="A46" s="30"/>
      <c r="B46" s="56"/>
      <c r="C46" s="203" t="s">
        <v>53</v>
      </c>
      <c r="D46" s="146" t="s">
        <v>3</v>
      </c>
      <c r="E46" s="290">
        <f>E8+E15+E31</f>
        <v>2540</v>
      </c>
      <c r="F46" s="163"/>
      <c r="G46" s="63"/>
      <c r="H46" s="260"/>
      <c r="I46" s="260"/>
      <c r="J46" s="33"/>
      <c r="K46" s="67"/>
      <c r="M46" s="67"/>
      <c r="N46" s="64"/>
      <c r="O46" s="24"/>
      <c r="P46" s="25"/>
      <c r="Q46" s="18"/>
      <c r="R46" s="10"/>
      <c r="S46" s="5"/>
      <c r="T46" s="5"/>
      <c r="U46" s="5"/>
      <c r="V46" s="5"/>
    </row>
    <row r="47" spans="1:31" ht="30" customHeight="1">
      <c r="A47" s="30"/>
      <c r="B47" s="80"/>
      <c r="C47" s="204" t="s">
        <v>56</v>
      </c>
      <c r="D47" s="208" t="s">
        <v>54</v>
      </c>
      <c r="E47" s="190">
        <f>(E46/(2.826*1.2))^0.5</f>
        <v>27.367816958032304</v>
      </c>
      <c r="F47" s="294">
        <v>32</v>
      </c>
      <c r="G47" s="50"/>
      <c r="H47" s="47"/>
      <c r="I47" s="46"/>
      <c r="J47" s="33"/>
      <c r="K47" s="67"/>
      <c r="L47" s="67"/>
      <c r="M47" s="67"/>
      <c r="N47" s="65"/>
      <c r="O47" s="24"/>
      <c r="P47" s="25"/>
      <c r="Q47" s="18"/>
      <c r="R47" s="5"/>
      <c r="S47" s="5"/>
      <c r="T47" s="5"/>
      <c r="U47" s="5"/>
      <c r="V47" s="5"/>
    </row>
    <row r="48" spans="1:31" ht="30" customHeight="1">
      <c r="A48" s="30"/>
      <c r="B48" s="53"/>
      <c r="C48" s="204" t="s">
        <v>57</v>
      </c>
      <c r="D48" s="208" t="s">
        <v>54</v>
      </c>
      <c r="E48" s="190">
        <f>(E46/(2.826*0.2))^0.5</f>
        <v>67.037186921067644</v>
      </c>
      <c r="F48" s="195">
        <v>80</v>
      </c>
      <c r="G48" s="50"/>
      <c r="H48" s="62"/>
      <c r="I48" s="59"/>
      <c r="J48" s="87"/>
      <c r="K48" s="67"/>
      <c r="L48" s="67"/>
      <c r="M48" s="67"/>
      <c r="N48" s="67"/>
      <c r="O48" s="24"/>
      <c r="P48" s="25"/>
      <c r="Q48" s="18"/>
      <c r="R48" s="5"/>
    </row>
    <row r="49" spans="1:18" ht="30" customHeight="1">
      <c r="A49" s="30"/>
      <c r="B49" s="53"/>
      <c r="C49" s="205" t="s">
        <v>58</v>
      </c>
      <c r="D49" s="208" t="s">
        <v>54</v>
      </c>
      <c r="E49" s="291" t="s">
        <v>80</v>
      </c>
      <c r="F49" s="117"/>
      <c r="G49" s="50"/>
      <c r="H49" s="62"/>
      <c r="I49" s="59"/>
      <c r="J49" s="87"/>
      <c r="K49" s="65"/>
      <c r="L49" s="65"/>
      <c r="M49" s="65"/>
      <c r="N49" s="65"/>
      <c r="O49" s="24"/>
      <c r="P49" s="25"/>
      <c r="Q49" s="18"/>
      <c r="R49" s="5"/>
    </row>
    <row r="50" spans="1:18" ht="30" customHeight="1">
      <c r="A50" s="30"/>
      <c r="B50" s="53"/>
      <c r="C50" s="206" t="s">
        <v>87</v>
      </c>
      <c r="D50" s="208" t="s">
        <v>0</v>
      </c>
      <c r="E50" s="274">
        <v>1.08</v>
      </c>
      <c r="F50" s="50"/>
      <c r="G50" s="50"/>
      <c r="H50" s="62"/>
      <c r="I50" s="59"/>
      <c r="J50" s="87"/>
      <c r="K50" s="65"/>
      <c r="L50" s="64"/>
      <c r="M50" s="66"/>
      <c r="N50" s="64"/>
      <c r="O50" s="24"/>
      <c r="P50" s="25"/>
      <c r="Q50" s="18"/>
      <c r="R50" s="5"/>
    </row>
    <row r="51" spans="1:18" ht="30" customHeight="1">
      <c r="A51" s="19"/>
      <c r="B51" s="53"/>
      <c r="C51" s="205" t="s">
        <v>88</v>
      </c>
      <c r="D51" s="208" t="s">
        <v>54</v>
      </c>
      <c r="E51" s="291" t="s">
        <v>80</v>
      </c>
    </row>
    <row r="52" spans="1:18" ht="30" customHeight="1">
      <c r="A52" s="27"/>
      <c r="B52" s="53"/>
      <c r="C52" s="206" t="s">
        <v>87</v>
      </c>
      <c r="D52" s="208" t="s">
        <v>0</v>
      </c>
      <c r="E52" s="274">
        <v>1.22</v>
      </c>
      <c r="O52" s="248" t="s">
        <v>91</v>
      </c>
      <c r="P52" s="249"/>
    </row>
    <row r="53" spans="1:18" ht="30" customHeight="1">
      <c r="A53" s="27"/>
      <c r="B53" s="53"/>
      <c r="C53" s="205" t="s">
        <v>58</v>
      </c>
      <c r="D53" s="208" t="s">
        <v>54</v>
      </c>
      <c r="E53" s="292" t="s">
        <v>82</v>
      </c>
    </row>
    <row r="54" spans="1:18" ht="30" customHeight="1">
      <c r="A54" s="27"/>
      <c r="B54" s="53"/>
      <c r="C54" s="207" t="s">
        <v>87</v>
      </c>
      <c r="D54" s="209" t="s">
        <v>0</v>
      </c>
      <c r="E54" s="293">
        <v>0.14000000000000001</v>
      </c>
      <c r="G54" s="220"/>
      <c r="H54" s="221" t="s">
        <v>102</v>
      </c>
      <c r="I54" s="221"/>
      <c r="J54" s="221"/>
      <c r="K54" s="221"/>
      <c r="L54" s="220"/>
    </row>
    <row r="55" spans="1:18" ht="30" customHeight="1">
      <c r="A55" s="27"/>
      <c r="B55" s="56"/>
      <c r="C55" s="79"/>
    </row>
    <row r="56" spans="1:18" ht="34.5" customHeight="1">
      <c r="A56" s="27"/>
      <c r="B56" s="56"/>
      <c r="C56" s="68"/>
      <c r="D56" s="178" t="s">
        <v>59</v>
      </c>
      <c r="E56" s="178"/>
      <c r="F56" s="178" t="s">
        <v>60</v>
      </c>
      <c r="G56" s="178" t="s">
        <v>61</v>
      </c>
      <c r="H56" s="179" t="s">
        <v>62</v>
      </c>
      <c r="I56" s="180" t="s">
        <v>63</v>
      </c>
      <c r="J56" s="178" t="s">
        <v>59</v>
      </c>
      <c r="K56" s="180" t="s">
        <v>64</v>
      </c>
      <c r="L56" s="180" t="s">
        <v>84</v>
      </c>
      <c r="M56" s="180" t="s">
        <v>65</v>
      </c>
      <c r="N56" s="180" t="s">
        <v>65</v>
      </c>
      <c r="O56" s="181" t="s">
        <v>62</v>
      </c>
      <c r="P56" s="182" t="s">
        <v>66</v>
      </c>
      <c r="Q56" s="5"/>
      <c r="R56" s="5"/>
    </row>
    <row r="57" spans="1:18" ht="34.5" customHeight="1">
      <c r="A57" s="56"/>
      <c r="B57" s="53"/>
      <c r="C57" s="49"/>
      <c r="D57" s="183" t="s">
        <v>3</v>
      </c>
      <c r="E57" s="183" t="s">
        <v>67</v>
      </c>
      <c r="F57" s="183" t="s">
        <v>68</v>
      </c>
      <c r="G57" s="183" t="s">
        <v>69</v>
      </c>
      <c r="H57" s="120" t="s">
        <v>70</v>
      </c>
      <c r="I57" s="183" t="s">
        <v>99</v>
      </c>
      <c r="J57" s="183" t="s">
        <v>71</v>
      </c>
      <c r="K57" s="184" t="s">
        <v>72</v>
      </c>
      <c r="L57" s="183" t="s">
        <v>89</v>
      </c>
      <c r="M57" s="185" t="s">
        <v>73</v>
      </c>
      <c r="N57" s="185" t="s">
        <v>74</v>
      </c>
      <c r="O57" s="185" t="s">
        <v>75</v>
      </c>
      <c r="P57" s="186" t="s">
        <v>76</v>
      </c>
      <c r="Q57" s="174"/>
      <c r="R57" s="5"/>
    </row>
    <row r="58" spans="1:18" ht="34.5" customHeight="1">
      <c r="A58" s="27"/>
      <c r="B58" s="53"/>
      <c r="C58" s="68"/>
      <c r="D58" s="213"/>
      <c r="E58" s="213"/>
      <c r="F58" s="213"/>
      <c r="G58" s="213"/>
      <c r="H58" s="213"/>
      <c r="I58" s="213" t="s">
        <v>100</v>
      </c>
      <c r="J58" s="213"/>
      <c r="K58" s="213"/>
      <c r="L58" s="213" t="s">
        <v>2</v>
      </c>
      <c r="M58" s="214" t="s">
        <v>77</v>
      </c>
      <c r="N58" s="214" t="s">
        <v>101</v>
      </c>
      <c r="O58" s="214"/>
      <c r="P58" s="214"/>
      <c r="Q58" s="174"/>
      <c r="R58" s="5"/>
    </row>
    <row r="59" spans="1:18" ht="34.5" customHeight="1">
      <c r="A59" s="27"/>
      <c r="B59" s="53"/>
      <c r="C59" s="68"/>
      <c r="D59" s="295">
        <f>E8</f>
        <v>1200</v>
      </c>
      <c r="E59" s="190">
        <f>F9</f>
        <v>20</v>
      </c>
      <c r="F59" s="187" t="s">
        <v>80</v>
      </c>
      <c r="G59" s="187">
        <v>20</v>
      </c>
      <c r="H59" s="187">
        <v>4.7</v>
      </c>
      <c r="I59" s="191">
        <f>IF(D59=0,0,((D59/1000)/H59)^2)</f>
        <v>6.5187867813490258E-2</v>
      </c>
      <c r="J59" s="187">
        <v>7</v>
      </c>
      <c r="K59" s="297">
        <f>IF(J59=0,0,(J59*(10.67/(G59/1000)^4.8704)*(D59/(1000*3600)/140)^1.852)/10)</f>
        <v>5.4158706427115358E-2</v>
      </c>
      <c r="L59" s="192" t="s">
        <v>83</v>
      </c>
      <c r="M59" s="299">
        <f>IF(I59=0,0,I59+K59+(L59/10000)+0.05)</f>
        <v>0.16954657424060562</v>
      </c>
      <c r="N59" s="188">
        <f>IF(D59=0,0,$M$62-M59+I59)</f>
        <v>0.34183743989791726</v>
      </c>
      <c r="O59" s="189">
        <f>IF(D59=0,0,(D59/1000)/N59^0.5)</f>
        <v>2.0524445481059108</v>
      </c>
      <c r="P59" s="191">
        <f>O59*5/H59</f>
        <v>2.1834516469211813</v>
      </c>
      <c r="Q59" s="144"/>
      <c r="R59" s="5"/>
    </row>
    <row r="60" spans="1:18" ht="34.5" customHeight="1">
      <c r="A60" s="27"/>
      <c r="B60" s="53"/>
      <c r="C60" s="68"/>
      <c r="D60" s="295">
        <f>E15</f>
        <v>1200</v>
      </c>
      <c r="E60" s="190">
        <f>F16</f>
        <v>20</v>
      </c>
      <c r="F60" s="187" t="s">
        <v>80</v>
      </c>
      <c r="G60" s="187">
        <v>20</v>
      </c>
      <c r="H60" s="187">
        <v>4.7</v>
      </c>
      <c r="I60" s="191">
        <f>IF(D60=0,0,((D60/1000)/H60)^2)</f>
        <v>6.5187867813490258E-2</v>
      </c>
      <c r="J60" s="187">
        <v>14</v>
      </c>
      <c r="K60" s="297">
        <f>IF(J60=0,0,(J60*(10.67/(G60/1000)^4.8704)*(D60/(1000*3600)/140)^1.852)/10)</f>
        <v>0.10831741285423072</v>
      </c>
      <c r="L60" s="192" t="s">
        <v>83</v>
      </c>
      <c r="M60" s="299">
        <f>IF(I60=0,0,I60+K60+(L60/10000)+0.05)</f>
        <v>0.223705280667721</v>
      </c>
      <c r="N60" s="188">
        <f>IF(D60=0,0,$M$62-M60+I60)</f>
        <v>0.28767873347080186</v>
      </c>
      <c r="O60" s="189">
        <f>IF(D60=0,0,(D60/1000)/N60^0.5)</f>
        <v>2.2373161986311021</v>
      </c>
      <c r="P60" s="191">
        <f>O60*5/H60</f>
        <v>2.3801236155650023</v>
      </c>
      <c r="Q60" s="144"/>
      <c r="R60" s="5"/>
    </row>
    <row r="61" spans="1:18" ht="34.5" customHeight="1">
      <c r="A61" s="27"/>
      <c r="B61" s="53"/>
      <c r="C61" s="68"/>
      <c r="D61" s="296">
        <f>E31</f>
        <v>140</v>
      </c>
      <c r="E61" s="193">
        <f>F27</f>
        <v>16</v>
      </c>
      <c r="F61" s="194" t="s">
        <v>82</v>
      </c>
      <c r="G61" s="195">
        <v>16</v>
      </c>
      <c r="H61" s="195">
        <v>3.08</v>
      </c>
      <c r="I61" s="196">
        <f>IF(D61=0,0,((D61/1000)/H61)^2)</f>
        <v>2.0661157024793389E-3</v>
      </c>
      <c r="J61" s="195">
        <v>2</v>
      </c>
      <c r="K61" s="298">
        <f>IF(J61=0,0,(J61*(10.67/(G61/1000)^4.8704)*(D61/(1000*3600)/140)^1.852)/10)</f>
        <v>8.5817571422662758E-4</v>
      </c>
      <c r="L61" s="197" t="s">
        <v>85</v>
      </c>
      <c r="M61" s="300">
        <f>IF(I61=0,0,I61+K61+(L61/10000)+0.05)</f>
        <v>5.2944291416705966E-2</v>
      </c>
      <c r="N61" s="198">
        <f>IF(D61=0,0,$M$62-M61+I61)</f>
        <v>0.39531797061080592</v>
      </c>
      <c r="O61" s="152">
        <f>IF(D61=0,0,(D61/1000)/N61^0.5)</f>
        <v>0.22266643559492263</v>
      </c>
      <c r="P61" s="196">
        <f>O61*5/H61</f>
        <v>0.36147148635539389</v>
      </c>
      <c r="Q61" s="103"/>
      <c r="R61" s="5"/>
    </row>
    <row r="62" spans="1:18" ht="34.5" customHeight="1">
      <c r="A62" s="27"/>
      <c r="B62" s="53"/>
      <c r="C62" s="68"/>
      <c r="D62" s="176"/>
      <c r="E62" s="99"/>
      <c r="F62" s="102"/>
      <c r="G62" s="102"/>
      <c r="H62" s="102"/>
      <c r="I62" s="103"/>
      <c r="J62" s="102"/>
      <c r="K62" s="169"/>
      <c r="L62" s="170"/>
      <c r="M62" s="212">
        <f>M59+M60+M61</f>
        <v>0.44619614632503257</v>
      </c>
      <c r="N62" s="171"/>
      <c r="O62" s="172"/>
      <c r="P62" s="173"/>
      <c r="Q62" s="103"/>
      <c r="R62" s="5"/>
    </row>
    <row r="63" spans="1:18" ht="34.5" customHeight="1">
      <c r="A63" s="27"/>
      <c r="B63" s="53"/>
      <c r="C63" s="68"/>
      <c r="D63" s="102"/>
      <c r="E63" s="101"/>
      <c r="F63" s="101"/>
      <c r="G63" s="100"/>
      <c r="H63" s="62"/>
      <c r="I63" s="88"/>
      <c r="J63" s="219"/>
      <c r="K63" s="250" t="s">
        <v>91</v>
      </c>
      <c r="L63" s="251"/>
      <c r="M63" s="250" t="s">
        <v>92</v>
      </c>
      <c r="N63" s="251"/>
      <c r="O63" s="250" t="s">
        <v>94</v>
      </c>
      <c r="P63" s="251"/>
      <c r="R63" s="5"/>
    </row>
    <row r="64" spans="1:18" ht="34.5" customHeight="1">
      <c r="A64" s="27"/>
      <c r="B64" s="56"/>
      <c r="C64" s="79"/>
      <c r="D64" s="103"/>
      <c r="E64" s="101"/>
      <c r="F64" s="101"/>
      <c r="G64" s="101"/>
      <c r="H64" s="58"/>
      <c r="I64" s="58"/>
      <c r="J64" s="216" t="s">
        <v>81</v>
      </c>
      <c r="K64" s="216" t="s">
        <v>90</v>
      </c>
      <c r="L64" s="160" t="s">
        <v>93</v>
      </c>
      <c r="M64" s="216" t="s">
        <v>90</v>
      </c>
      <c r="N64" s="160" t="s">
        <v>93</v>
      </c>
      <c r="O64" s="216" t="s">
        <v>90</v>
      </c>
      <c r="P64" s="160" t="s">
        <v>93</v>
      </c>
      <c r="R64" s="5"/>
    </row>
    <row r="65" spans="1:18" ht="34.5" customHeight="1">
      <c r="A65" s="27"/>
      <c r="B65" s="56"/>
      <c r="C65" s="79"/>
      <c r="D65" s="79"/>
      <c r="E65" s="50"/>
      <c r="F65" s="50"/>
      <c r="G65" s="50"/>
      <c r="H65" s="56"/>
      <c r="I65" s="56"/>
      <c r="J65" s="216" t="s">
        <v>82</v>
      </c>
      <c r="K65" s="216">
        <v>3.08</v>
      </c>
      <c r="L65" s="160">
        <v>5</v>
      </c>
      <c r="M65" s="216">
        <v>3.35</v>
      </c>
      <c r="N65" s="160">
        <v>8</v>
      </c>
      <c r="O65" s="216">
        <v>1.7</v>
      </c>
      <c r="P65" s="216">
        <v>6</v>
      </c>
      <c r="R65" s="5"/>
    </row>
    <row r="66" spans="1:18" ht="34.5" customHeight="1">
      <c r="A66" s="29"/>
      <c r="B66" s="53"/>
      <c r="C66" s="164"/>
      <c r="D66" s="50"/>
      <c r="E66" s="100"/>
      <c r="F66" s="100"/>
      <c r="G66" s="100"/>
      <c r="H66" s="90"/>
      <c r="I66" s="90"/>
      <c r="J66" s="216" t="s">
        <v>80</v>
      </c>
      <c r="K66" s="142">
        <v>4.7</v>
      </c>
      <c r="L66" s="160">
        <v>5</v>
      </c>
      <c r="M66" s="142">
        <v>4</v>
      </c>
      <c r="N66" s="160">
        <v>4</v>
      </c>
      <c r="O66" s="160">
        <v>2.7</v>
      </c>
      <c r="P66" s="217">
        <v>6</v>
      </c>
      <c r="R66" s="5"/>
    </row>
    <row r="67" spans="1:18" ht="34.5" customHeight="1">
      <c r="A67" s="29"/>
      <c r="B67" s="57"/>
      <c r="C67" s="68"/>
      <c r="D67" s="102"/>
      <c r="E67" s="101"/>
      <c r="F67" s="102"/>
      <c r="G67" s="102"/>
      <c r="H67" s="59"/>
      <c r="I67" s="60"/>
      <c r="J67" s="216" t="s">
        <v>79</v>
      </c>
      <c r="K67" s="216">
        <v>11.72</v>
      </c>
      <c r="L67" s="160">
        <v>5</v>
      </c>
      <c r="M67" s="216">
        <v>11.2</v>
      </c>
      <c r="N67" s="160">
        <v>11.2</v>
      </c>
      <c r="O67" s="216">
        <v>3.6</v>
      </c>
      <c r="P67" s="216">
        <v>6</v>
      </c>
      <c r="R67" s="175"/>
    </row>
    <row r="68" spans="1:18" ht="34.5" customHeight="1">
      <c r="A68" s="28"/>
      <c r="B68" s="57"/>
      <c r="C68" s="68"/>
      <c r="D68" s="102"/>
      <c r="E68" s="101"/>
      <c r="J68" s="218" t="s">
        <v>78</v>
      </c>
      <c r="K68" s="218">
        <v>17.850000000000001</v>
      </c>
      <c r="L68" s="161">
        <v>5</v>
      </c>
      <c r="M68" s="218">
        <v>13.4</v>
      </c>
      <c r="N68" s="161">
        <v>12</v>
      </c>
      <c r="O68" s="218">
        <v>6.8</v>
      </c>
      <c r="P68" s="218">
        <v>8</v>
      </c>
      <c r="R68" s="175"/>
    </row>
    <row r="69" spans="1:18" ht="34.5" customHeight="1">
      <c r="B69" s="57"/>
      <c r="C69" s="68"/>
      <c r="D69" s="102"/>
      <c r="E69" s="101"/>
      <c r="F69" s="102"/>
      <c r="G69" s="102"/>
      <c r="H69" s="59"/>
      <c r="I69" s="60"/>
      <c r="J69" s="87"/>
      <c r="K69" s="168"/>
      <c r="L69" s="211"/>
      <c r="M69" s="168"/>
      <c r="N69" s="211"/>
      <c r="O69" s="168"/>
      <c r="P69" s="168"/>
      <c r="Q69" s="168"/>
      <c r="R69" s="175"/>
    </row>
    <row r="70" spans="1:18" ht="34.5" customHeight="1">
      <c r="B70" s="57"/>
      <c r="C70" s="165"/>
      <c r="D70" s="165"/>
      <c r="E70" s="101"/>
      <c r="F70" s="102"/>
      <c r="G70" s="102"/>
      <c r="H70" s="59"/>
      <c r="I70" s="60"/>
      <c r="J70" s="87"/>
      <c r="K70" s="61"/>
      <c r="L70" s="61"/>
      <c r="M70" s="61"/>
    </row>
    <row r="71" spans="1:18" ht="34.5" customHeight="1">
      <c r="B71" s="57"/>
      <c r="C71" s="165"/>
      <c r="D71" s="166"/>
      <c r="E71" s="101"/>
      <c r="F71" s="102"/>
      <c r="G71" s="102"/>
      <c r="H71" s="59"/>
      <c r="I71" s="60"/>
      <c r="J71" s="87"/>
      <c r="K71" s="61"/>
      <c r="L71" s="61"/>
      <c r="M71" s="61"/>
    </row>
    <row r="72" spans="1:18" ht="34.5" customHeight="1">
      <c r="B72" s="56"/>
      <c r="C72" s="79"/>
      <c r="D72" s="103"/>
      <c r="E72" s="101"/>
      <c r="F72" s="101"/>
      <c r="G72" s="101"/>
      <c r="H72" s="58"/>
      <c r="I72" s="58"/>
      <c r="J72" s="86"/>
      <c r="K72" s="61"/>
      <c r="L72" s="61"/>
      <c r="M72" s="61"/>
    </row>
    <row r="73" spans="1:18" ht="34.5" customHeight="1">
      <c r="A73" s="56"/>
      <c r="B73" s="57"/>
      <c r="C73" s="68"/>
      <c r="D73" s="102"/>
      <c r="E73" s="101"/>
      <c r="F73" s="102"/>
      <c r="G73" s="102"/>
      <c r="H73" s="59"/>
      <c r="I73" s="60"/>
      <c r="J73" s="56"/>
      <c r="K73" s="61"/>
      <c r="L73" s="61"/>
      <c r="M73" s="61"/>
    </row>
    <row r="74" spans="1:18" ht="34.5" customHeight="1">
      <c r="A74" s="56"/>
      <c r="B74" s="56"/>
      <c r="C74" s="50"/>
      <c r="D74" s="50"/>
      <c r="E74" s="50"/>
      <c r="F74" s="50"/>
      <c r="G74" s="50"/>
      <c r="H74" s="56"/>
      <c r="I74" s="56"/>
      <c r="J74" s="56"/>
      <c r="K74" s="61"/>
      <c r="L74" s="61"/>
      <c r="M74" s="61"/>
    </row>
    <row r="75" spans="1:18" ht="34.5" customHeight="1">
      <c r="A75" s="56"/>
      <c r="B75" s="56"/>
      <c r="C75" s="89"/>
      <c r="D75" s="50"/>
      <c r="E75" s="50"/>
      <c r="F75" s="50"/>
      <c r="G75" s="50"/>
      <c r="H75" s="56"/>
      <c r="I75" s="56"/>
      <c r="J75" s="56"/>
      <c r="K75" s="61"/>
      <c r="L75" s="61"/>
      <c r="M75" s="61"/>
    </row>
    <row r="76" spans="1:18" ht="45" customHeight="1">
      <c r="C76" s="69"/>
      <c r="D76" s="70"/>
      <c r="E76" s="67"/>
      <c r="F76" s="67"/>
      <c r="G76" s="67"/>
      <c r="K76" s="61"/>
      <c r="L76" s="61"/>
      <c r="M76" s="61"/>
    </row>
    <row r="77" spans="1:18" ht="45" customHeight="1">
      <c r="C77" s="69"/>
      <c r="D77" s="67"/>
      <c r="E77" s="67"/>
      <c r="F77" s="67"/>
      <c r="G77" s="67"/>
      <c r="K77" s="61"/>
      <c r="L77" s="61"/>
      <c r="M77" s="61"/>
    </row>
    <row r="78" spans="1:18" ht="45" customHeight="1">
      <c r="C78" s="69"/>
      <c r="D78" s="67"/>
      <c r="E78" s="63"/>
      <c r="F78" s="63"/>
      <c r="G78" s="63"/>
      <c r="K78" s="56"/>
      <c r="L78" s="56"/>
      <c r="M78" s="56"/>
    </row>
    <row r="80" spans="1:18" ht="45" customHeight="1">
      <c r="D80" s="54"/>
      <c r="E80" s="54"/>
      <c r="F80" s="54"/>
    </row>
    <row r="81" spans="2:9" ht="45" customHeight="1">
      <c r="B81" s="5"/>
      <c r="C81" s="5"/>
      <c r="D81" s="55"/>
      <c r="E81" s="55"/>
      <c r="F81" s="55"/>
      <c r="G81" s="5"/>
      <c r="H81" s="5"/>
      <c r="I81" s="5"/>
    </row>
    <row r="82" spans="2:9" ht="45" customHeight="1">
      <c r="B82" s="53"/>
      <c r="C82" s="45"/>
      <c r="D82" s="48"/>
      <c r="E82" s="47"/>
      <c r="F82" s="47"/>
      <c r="G82" s="47"/>
      <c r="H82" s="47"/>
      <c r="I82" s="46"/>
    </row>
    <row r="83" spans="2:9" ht="45" customHeight="1">
      <c r="B83" s="53"/>
      <c r="C83" s="45"/>
      <c r="D83" s="48"/>
      <c r="E83" s="47"/>
      <c r="F83" s="5"/>
      <c r="G83" s="5"/>
      <c r="H83" s="32"/>
      <c r="I83" s="23"/>
    </row>
    <row r="84" spans="2:9" ht="45" customHeight="1">
      <c r="B84" s="53"/>
      <c r="C84" s="45"/>
      <c r="D84" s="48"/>
      <c r="E84" s="47"/>
      <c r="F84" s="5"/>
      <c r="G84" s="5"/>
      <c r="H84" s="31"/>
      <c r="I84" s="44"/>
    </row>
    <row r="85" spans="2:9" ht="45" customHeight="1">
      <c r="B85" s="53"/>
      <c r="C85" s="45"/>
      <c r="D85" s="50"/>
      <c r="E85" s="47"/>
      <c r="F85" s="5"/>
      <c r="G85" s="5"/>
      <c r="H85" s="5"/>
      <c r="I85" s="5"/>
    </row>
    <row r="86" spans="2:9" ht="45" customHeight="1">
      <c r="B86" s="5"/>
      <c r="C86" s="45"/>
      <c r="D86" s="49"/>
      <c r="E86" s="47"/>
      <c r="F86" s="5"/>
      <c r="G86" s="5"/>
      <c r="H86" s="5"/>
      <c r="I86" s="5"/>
    </row>
    <row r="87" spans="2:9" ht="45" customHeight="1">
      <c r="B87" s="5"/>
      <c r="C87" s="45"/>
      <c r="D87" s="51"/>
      <c r="E87" s="47"/>
      <c r="F87" s="5"/>
      <c r="G87" s="5"/>
      <c r="H87" s="5"/>
      <c r="I87" s="5"/>
    </row>
    <row r="88" spans="2:9" ht="45" customHeight="1">
      <c r="B88" s="5"/>
      <c r="C88" s="45"/>
      <c r="D88" s="52"/>
      <c r="E88" s="47"/>
      <c r="F88" s="5"/>
      <c r="G88" s="5"/>
      <c r="H88" s="5"/>
      <c r="I88" s="5"/>
    </row>
    <row r="89" spans="2:9" ht="45" customHeight="1">
      <c r="B89" s="5"/>
      <c r="C89" s="5"/>
      <c r="D89" s="52"/>
      <c r="E89" s="47"/>
      <c r="F89" s="5"/>
      <c r="G89" s="5"/>
      <c r="H89" s="5"/>
      <c r="I89" s="5"/>
    </row>
    <row r="90" spans="2:9" ht="45" customHeight="1">
      <c r="B90" s="5"/>
      <c r="C90" s="5"/>
      <c r="D90" s="5"/>
      <c r="E90" s="5"/>
      <c r="F90" s="5"/>
      <c r="G90" s="5"/>
      <c r="H90" s="5"/>
      <c r="I90" s="5"/>
    </row>
  </sheetData>
  <sheetProtection password="F3B8" sheet="1" objects="1" scenarios="1" selectLockedCells="1"/>
  <customSheetViews>
    <customSheetView guid="{4BED42D2-EED8-4216-8E0B-F832B8F9A49A}" scale="50" showPageBreaks="1" printArea="1" view="pageLayout" topLeftCell="A7">
      <selection activeCell="A16" sqref="A16:B16"/>
      <pageMargins left="0.7" right="0.7" top="0.75" bottom="0.75" header="0.3" footer="0.3"/>
      <pageSetup paperSize="9" scale="35" orientation="portrait" r:id="rId1"/>
    </customSheetView>
  </customSheetViews>
  <mergeCells count="16">
    <mergeCell ref="E4:M4"/>
    <mergeCell ref="L15:N15"/>
    <mergeCell ref="C5:E5"/>
    <mergeCell ref="I39:L39"/>
    <mergeCell ref="E2:M2"/>
    <mergeCell ref="E3:M3"/>
    <mergeCell ref="O52:P52"/>
    <mergeCell ref="K63:L63"/>
    <mergeCell ref="M63:N63"/>
    <mergeCell ref="O63:P63"/>
    <mergeCell ref="I16:J16"/>
    <mergeCell ref="I17:J17"/>
    <mergeCell ref="L17:M17"/>
    <mergeCell ref="L16:M16"/>
    <mergeCell ref="L18:M18"/>
    <mergeCell ref="H46:I46"/>
  </mergeCells>
  <pageMargins left="0.7" right="0.7" top="0.75" bottom="0.75" header="0.3" footer="0.3"/>
  <pageSetup paperSize="9" scale="23" orientation="portrait" r:id="rId2"/>
  <colBreaks count="1" manualBreakCount="1">
    <brk id="18" max="128" man="1"/>
  </colBreaks>
  <drawing r:id="rId3"/>
  <legacyDrawing r:id="rId4"/>
  <picture r:id="rId5"/>
  <oleObjects>
    <oleObject progId="AutoCAD.Drawing.18" shapeId="1029" r:id="rId6"/>
    <oleObject progId="AutoCAD.Drawing.18" shapeId="1033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2023-03-07T10:25:39Z</dcterms:modified>
</cp:coreProperties>
</file>